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dmin/Desktop/ISVIMED/MARZO_26_/INTERVENTORÍA COLINAS/"/>
    </mc:Choice>
  </mc:AlternateContent>
  <xr:revisionPtr revIDLastSave="0" documentId="8_{DDD7C971-BA3C-D44D-80A6-242A1DDD9B3E}" xr6:coauthVersionLast="47" xr6:coauthVersionMax="47" xr10:uidLastSave="{00000000-0000-0000-0000-000000000000}"/>
  <bookViews>
    <workbookView xWindow="0" yWindow="600" windowWidth="23260" windowHeight="13180" xr2:uid="{A36B15C5-ADC0-4179-9C20-65F4B5098AC6}"/>
  </bookViews>
  <sheets>
    <sheet name="COLINAS DE OCCIDENTE" sheetId="1" r:id="rId1"/>
    <sheet name="FM" sheetId="2" r:id="rId2"/>
    <sheet name="ANEXO SALARIOS REFERENCIA" sheetId="3" r:id="rId3"/>
  </sheets>
  <externalReferences>
    <externalReference r:id="rId4"/>
    <externalReference r:id="rId5"/>
  </externalReferences>
  <definedNames>
    <definedName name="SMMLV">'[1]Tablas de Soporte'!$B$1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O16" i="1"/>
  <c r="O15" i="1"/>
  <c r="O18" i="1"/>
  <c r="Q25" i="1"/>
  <c r="V8" i="1" l="1"/>
  <c r="U8" i="1"/>
  <c r="T10" i="1"/>
  <c r="T9" i="1"/>
  <c r="T8" i="1"/>
  <c r="F9" i="3"/>
  <c r="G9" i="3"/>
  <c r="H9" i="3"/>
  <c r="I9" i="3"/>
  <c r="J9" i="3"/>
  <c r="F10" i="3"/>
  <c r="G10" i="3"/>
  <c r="H10" i="3"/>
  <c r="I10" i="3"/>
  <c r="J10" i="3"/>
  <c r="F11" i="3"/>
  <c r="G11" i="3"/>
  <c r="O34" i="1" s="1"/>
  <c r="H11" i="3"/>
  <c r="I11" i="3"/>
  <c r="J11" i="3"/>
  <c r="F12" i="3"/>
  <c r="G12" i="3"/>
  <c r="H12" i="3"/>
  <c r="I12" i="3"/>
  <c r="J12" i="3"/>
  <c r="F13" i="3"/>
  <c r="G13" i="3"/>
  <c r="H13" i="3"/>
  <c r="O19" i="1" s="1"/>
  <c r="I13" i="3"/>
  <c r="J13" i="3"/>
  <c r="F14" i="3"/>
  <c r="G14" i="3"/>
  <c r="H14" i="3"/>
  <c r="I14" i="3"/>
  <c r="J14" i="3"/>
  <c r="F15" i="3"/>
  <c r="G15" i="3"/>
  <c r="H15" i="3"/>
  <c r="I15" i="3"/>
  <c r="J15" i="3"/>
  <c r="F16" i="3"/>
  <c r="G16" i="3"/>
  <c r="H16" i="3"/>
  <c r="I16" i="3"/>
  <c r="J16" i="3"/>
  <c r="F17" i="3"/>
  <c r="G17" i="3"/>
  <c r="H17" i="3"/>
  <c r="I17" i="3"/>
  <c r="J17" i="3"/>
  <c r="E10" i="3"/>
  <c r="E11" i="3"/>
  <c r="E12" i="3"/>
  <c r="E13" i="3"/>
  <c r="E14" i="3"/>
  <c r="E15" i="3"/>
  <c r="E16" i="3"/>
  <c r="E17" i="3"/>
  <c r="E9" i="3"/>
  <c r="O14" i="1" s="1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E15" i="1" l="1"/>
  <c r="E16" i="1" s="1"/>
  <c r="E14" i="1"/>
  <c r="E17" i="1" l="1"/>
  <c r="E18" i="1" s="1"/>
  <c r="E19" i="1" s="1"/>
  <c r="O17" i="1"/>
  <c r="R34" i="1"/>
  <c r="R17" i="1"/>
  <c r="R18" i="1"/>
  <c r="P34" i="1" l="1"/>
  <c r="S34" i="1" s="1"/>
  <c r="S35" i="1" s="1"/>
  <c r="R37" i="1" s="1"/>
  <c r="G26" i="1"/>
  <c r="H23" i="1"/>
  <c r="I23" i="1" s="1"/>
  <c r="S25" i="1"/>
  <c r="R38" i="1" l="1"/>
  <c r="R39" i="1" s="1"/>
  <c r="R24" i="1"/>
  <c r="S24" i="1" s="1"/>
  <c r="C40" i="2"/>
  <c r="C38" i="2"/>
  <c r="C20" i="2"/>
  <c r="C12" i="2"/>
  <c r="C11" i="2"/>
  <c r="C10" i="2"/>
  <c r="C3" i="2"/>
  <c r="C42" i="2" s="1"/>
  <c r="D6" i="1" l="1"/>
  <c r="F20" i="1"/>
  <c r="I20" i="1" s="1"/>
  <c r="R19" i="1"/>
  <c r="P19" i="1"/>
  <c r="H19" i="1"/>
  <c r="F19" i="1"/>
  <c r="P18" i="1"/>
  <c r="H18" i="1"/>
  <c r="F18" i="1"/>
  <c r="P17" i="1"/>
  <c r="H17" i="1"/>
  <c r="F17" i="1"/>
  <c r="R16" i="1"/>
  <c r="P16" i="1"/>
  <c r="H16" i="1"/>
  <c r="F16" i="1"/>
  <c r="P15" i="1"/>
  <c r="H15" i="1"/>
  <c r="F15" i="1"/>
  <c r="P14" i="1"/>
  <c r="F14" i="1"/>
  <c r="R14" i="1"/>
  <c r="I15" i="1" l="1"/>
  <c r="S16" i="1"/>
  <c r="S17" i="1"/>
  <c r="S18" i="1"/>
  <c r="S19" i="1"/>
  <c r="I14" i="1"/>
  <c r="I18" i="1"/>
  <c r="R15" i="1"/>
  <c r="S15" i="1" s="1"/>
  <c r="S14" i="1"/>
  <c r="I16" i="1"/>
  <c r="I17" i="1"/>
  <c r="I19" i="1"/>
  <c r="I21" i="1" l="1"/>
  <c r="S21" i="1"/>
  <c r="H25" i="1" l="1"/>
  <c r="H24" i="1"/>
  <c r="R26" i="1"/>
  <c r="H27" i="1" l="1"/>
  <c r="E31" i="1" s="1"/>
  <c r="R27" i="1"/>
  <c r="R29" i="1" s="1"/>
  <c r="R28" i="1" s="1"/>
  <c r="E35" i="1" l="1"/>
  <c r="E36" i="1"/>
  <c r="E33" i="1"/>
  <c r="E32" i="1"/>
  <c r="D4" i="1"/>
  <c r="E30" i="1"/>
  <c r="H26" i="1"/>
  <c r="E34" i="1"/>
  <c r="D5" i="1"/>
  <c r="D7" i="1" s="1"/>
  <c r="E37" i="1" l="1"/>
</calcChain>
</file>

<file path=xl/sharedStrings.xml><?xml version="1.0" encoding="utf-8"?>
<sst xmlns="http://schemas.openxmlformats.org/spreadsheetml/2006/main" count="201" uniqueCount="164">
  <si>
    <t>Duracion del proyecto en meses</t>
  </si>
  <si>
    <t>Duracion de la etapa en meses</t>
  </si>
  <si>
    <t>FASE AUDITORIA ESTUDIOS Y DISEÑOS</t>
  </si>
  <si>
    <t>FASE OPERATIVA</t>
  </si>
  <si>
    <t>ITEM</t>
  </si>
  <si>
    <t>DESCRIPCION</t>
  </si>
  <si>
    <t>CANTIDAD</t>
  </si>
  <si>
    <t>VALOR/MES BASE</t>
  </si>
  <si>
    <t>% DEDICACION</t>
  </si>
  <si>
    <t>MESES</t>
  </si>
  <si>
    <t>TOTAL PARCIAL</t>
  </si>
  <si>
    <t>COSTOS DIRECTOS PERSONAL BASE</t>
  </si>
  <si>
    <t>Director de interventoria</t>
  </si>
  <si>
    <t>Ingeniero estructural</t>
  </si>
  <si>
    <t>Residente interventoria</t>
  </si>
  <si>
    <t>Ingeniero geotecnista</t>
  </si>
  <si>
    <t>Auxiliar de residente</t>
  </si>
  <si>
    <t>Arquitecto con experiencia en diseño</t>
  </si>
  <si>
    <t>Ingeniero sanitario</t>
  </si>
  <si>
    <t>Profesional ambiental</t>
  </si>
  <si>
    <t>Ingeniero electricista</t>
  </si>
  <si>
    <t>Profesional SISO</t>
  </si>
  <si>
    <t>SUB TOTAL COSTOS DIRECTOS PERSONAL BASE</t>
  </si>
  <si>
    <t>IVA</t>
  </si>
  <si>
    <t>COSTO TOTAL FASE PREOPERATIVA</t>
  </si>
  <si>
    <t>PRODUCTOS</t>
  </si>
  <si>
    <t>INCIDENCIA</t>
  </si>
  <si>
    <t>VALOR</t>
  </si>
  <si>
    <t>OBSERVACIONES</t>
  </si>
  <si>
    <t>PRESUPUESTO Y CRONOGRAMA (si aplica)</t>
  </si>
  <si>
    <t>Presupuesto, APU`s, flujo de caja, cronograma en project, flujo de caja, modelo BIM, P&amp;G, otros</t>
  </si>
  <si>
    <t>ESTUDIO DE SUELOS</t>
  </si>
  <si>
    <t>Estudio geotecnico, estudio de amenaza y riesgo de vulnerabilidad (si aplica).</t>
  </si>
  <si>
    <t>ESTRUCTURAL</t>
  </si>
  <si>
    <t>ARQUITECTONICO Y URBANISTICO</t>
  </si>
  <si>
    <t>Plantas (implantacion, tipicas, atipicas, cubierta), fachadas, detalles (arquitectonicos, constructivos), espacio publico, alumbrado publico.</t>
  </si>
  <si>
    <t>HIDROSANITARIO Y RCI</t>
  </si>
  <si>
    <t>Redes externas e internas, planos, RCI (deteccion, alarma, extincion), memorias.</t>
  </si>
  <si>
    <t>ELECTRICO Y GAS</t>
  </si>
  <si>
    <t>Redes electricas y de gas externas e internas, planos, telecomunicaciones, apantallamiento, memorias</t>
  </si>
  <si>
    <t>OTROS DISEÑOS (si aplican)</t>
  </si>
  <si>
    <t>Vias, ambientales, RPH, otros</t>
  </si>
  <si>
    <t>TOTAL</t>
  </si>
  <si>
    <t>Interventoria fase operativa</t>
  </si>
  <si>
    <t>Interventoria fase pre-operativa</t>
  </si>
  <si>
    <t>FASE</t>
  </si>
  <si>
    <t>VALOR TOTAL INTERVENTORIA</t>
  </si>
  <si>
    <t>RESUMEN</t>
  </si>
  <si>
    <t>CALCULO DEL FACTOR MULTIPLICADOR</t>
  </si>
  <si>
    <t>HONORARIOS MENSUAL  BASICO</t>
  </si>
  <si>
    <t>PRESTACIONES SOCIALES</t>
  </si>
  <si>
    <t>2.1</t>
  </si>
  <si>
    <t>Prima mensual</t>
  </si>
  <si>
    <t>2.2</t>
  </si>
  <si>
    <t>Cesantía mensual</t>
  </si>
  <si>
    <t>2.3</t>
  </si>
  <si>
    <t>Intereses de cesantías</t>
  </si>
  <si>
    <t>2.4</t>
  </si>
  <si>
    <t>Salud</t>
  </si>
  <si>
    <t>2.5</t>
  </si>
  <si>
    <t>Pensión</t>
  </si>
  <si>
    <t>2.6</t>
  </si>
  <si>
    <t>SENA</t>
  </si>
  <si>
    <t>2.7</t>
  </si>
  <si>
    <t>ICBF</t>
  </si>
  <si>
    <t>2.8</t>
  </si>
  <si>
    <t>Subsidio Familiar</t>
  </si>
  <si>
    <t>2.9</t>
  </si>
  <si>
    <t>Vacaciones</t>
  </si>
  <si>
    <t>2.10</t>
  </si>
  <si>
    <t>Polizas</t>
  </si>
  <si>
    <t>2.11</t>
  </si>
  <si>
    <t>Dotación</t>
  </si>
  <si>
    <t>2.12</t>
  </si>
  <si>
    <t>IVM</t>
  </si>
  <si>
    <t>2.13</t>
  </si>
  <si>
    <t>EGM</t>
  </si>
  <si>
    <t>2.14</t>
  </si>
  <si>
    <t>ATEP</t>
  </si>
  <si>
    <t>2.15</t>
  </si>
  <si>
    <t>Otros</t>
  </si>
  <si>
    <t xml:space="preserve">SUBTOTAL  2  -  PRESTACIONES SOCIALES    </t>
  </si>
  <si>
    <t>COSTOS INDIRECTOS</t>
  </si>
  <si>
    <t>GASTOS LEGALES Y DE ADMINISTRACION</t>
  </si>
  <si>
    <t>3.1</t>
  </si>
  <si>
    <t>Gastos directos no reembolsables</t>
  </si>
  <si>
    <t>3.2</t>
  </si>
  <si>
    <t>Arriendos oficinas</t>
  </si>
  <si>
    <t>3.3</t>
  </si>
  <si>
    <t>Servcios públicos</t>
  </si>
  <si>
    <t>3.4</t>
  </si>
  <si>
    <t>Mantenimiento y operación de oficinas</t>
  </si>
  <si>
    <t>3.5</t>
  </si>
  <si>
    <t>Utiles y papelería</t>
  </si>
  <si>
    <t>3.6</t>
  </si>
  <si>
    <t>Gastos legales y bancarios</t>
  </si>
  <si>
    <t>3.7</t>
  </si>
  <si>
    <t>Gastos de tranporte y vehículos</t>
  </si>
  <si>
    <t>3.8</t>
  </si>
  <si>
    <t>Sistematización y Administración</t>
  </si>
  <si>
    <t>3.9</t>
  </si>
  <si>
    <t>Salarios y Prestaciones no reembolsables</t>
  </si>
  <si>
    <t>3.10</t>
  </si>
  <si>
    <t>Personal administrativo</t>
  </si>
  <si>
    <t>3.11</t>
  </si>
  <si>
    <t>Preparación de propuesta</t>
  </si>
  <si>
    <t>Otros gastos no reembolsables</t>
  </si>
  <si>
    <t>Seguros</t>
  </si>
  <si>
    <t>Relaciones públicas y Gastos de representación</t>
  </si>
  <si>
    <t>Asesoría legal permanente (responsabilidad civil, penal, laboral, etc.)</t>
  </si>
  <si>
    <t xml:space="preserve">SUBTOTAL  3  -  COSTOS INDIRECTOS    </t>
  </si>
  <si>
    <t>CARGO POR HONORARIOS</t>
  </si>
  <si>
    <t xml:space="preserve">SUBTOTAL  4  -  HONORARIOS     </t>
  </si>
  <si>
    <r>
      <t>FACTOR MULTIPLICADOR</t>
    </r>
    <r>
      <rPr>
        <sz val="12"/>
        <rFont val="Aptos Narrow"/>
        <family val="2"/>
      </rPr>
      <t xml:space="preserve">   =   (  1 + 2 + 3 + 4  ) / 100</t>
    </r>
  </si>
  <si>
    <t>FM</t>
  </si>
  <si>
    <t>COSTOS REEMBOLSABLES</t>
  </si>
  <si>
    <t>VLOR PARCIAL</t>
  </si>
  <si>
    <t xml:space="preserve">Comision de topografia </t>
  </si>
  <si>
    <t>VLOR TOTAL</t>
  </si>
  <si>
    <t>COSTO DIRECTO + REEMBOLSABLES</t>
  </si>
  <si>
    <t>Asesorias especializadas</t>
  </si>
  <si>
    <t>Impuesto 4x1000</t>
  </si>
  <si>
    <t>COSTO TOTAL FASE OPERATIVA</t>
  </si>
  <si>
    <t>SUPERVISIÓN TÉCNICA FASE OPERATIVA</t>
  </si>
  <si>
    <t>Supervisor técnico independiente</t>
  </si>
  <si>
    <t>Supervisor Técnico independiente</t>
  </si>
  <si>
    <t>Fundaciones, superestructura, escalas, cuartos tecnicos, elementos de contencion de suelo, elementos no estructurales, memorias, obras de mitigación y habilitación.</t>
  </si>
  <si>
    <t>Experiencia /Nivel de responsabilidad</t>
  </si>
  <si>
    <t>Ingeniero Ambiental</t>
  </si>
  <si>
    <t>IPC ACUMULADO</t>
  </si>
  <si>
    <t>Nivel de responsabilidad en un Proyecto de Obra</t>
  </si>
  <si>
    <t xml:space="preserve">                                                       Experiencia
Nivel de responsabilidad</t>
  </si>
  <si>
    <t>&gt;= 10  &gt; 12 años</t>
  </si>
  <si>
    <t>&gt;= 8  Años</t>
  </si>
  <si>
    <t>&gt;= 6  Años</t>
  </si>
  <si>
    <t>&gt;= 4  Años</t>
  </si>
  <si>
    <t>&gt;= 2  años</t>
  </si>
  <si>
    <t>&gt; 0 &lt; 2 años</t>
  </si>
  <si>
    <t>Totalmente responsable, tanto administrativa como técnicamente del proyecto. Establece las políticas y los controles financieros</t>
  </si>
  <si>
    <t>A</t>
  </si>
  <si>
    <t>Profesional Especialista Coordinador (A)</t>
  </si>
  <si>
    <t>Responsable de tomar decisiones administrativas y técnicas.</t>
  </si>
  <si>
    <t>B</t>
  </si>
  <si>
    <t>Profesional Especialista Director (B)</t>
  </si>
  <si>
    <t>Responsable de tomar decisiones administrativas y técnicas con reporte a una instancia superior.</t>
  </si>
  <si>
    <t>C</t>
  </si>
  <si>
    <t>Profesional Posgrado Residente (C)</t>
  </si>
  <si>
    <t>Responsable de tomar decisiones técnicas con reporte a una instancia superior.</t>
  </si>
  <si>
    <t>D</t>
  </si>
  <si>
    <t>Profesional Pregrado Residente (D)</t>
  </si>
  <si>
    <t>Asesora, elabora estudios independientes, realiza análisis, interpreta y concluye, con verificación de un director</t>
  </si>
  <si>
    <t>E</t>
  </si>
  <si>
    <t>Tecnólogo (E)</t>
  </si>
  <si>
    <t>La toma de decisiones están fijadas por medio de guías.</t>
  </si>
  <si>
    <t>F</t>
  </si>
  <si>
    <t>Técnico (F)</t>
  </si>
  <si>
    <t>Decisiones rutinarias y están previstas en manuales de procedimientos</t>
  </si>
  <si>
    <t>G</t>
  </si>
  <si>
    <t>Técnico (G)</t>
  </si>
  <si>
    <t>Apoyan en campos específicos.</t>
  </si>
  <si>
    <t>H</t>
  </si>
  <si>
    <t>Auxiliar (H)</t>
  </si>
  <si>
    <t>Básico sin experiencia</t>
  </si>
  <si>
    <t>Duracion + tiempo de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</si>
</sst>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-&quot;$&quot;* #,##0_-;\-&quot;$&quot;* #,##0_-;_-&quot;$&quot;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</font>
    <font>
      <b/>
      <sz val="16"/>
      <name val="Aptos Narrow"/>
      <family val="2"/>
    </font>
    <font>
      <sz val="11"/>
      <color theme="1"/>
      <name val="Aptos Narrow"/>
      <family val="2"/>
    </font>
    <font>
      <b/>
      <sz val="10"/>
      <name val="Aptos Narrow"/>
      <family val="2"/>
    </font>
    <font>
      <b/>
      <sz val="12"/>
      <name val="Aptos Narrow"/>
      <family val="2"/>
    </font>
    <font>
      <b/>
      <sz val="11"/>
      <name val="Aptos Narrow"/>
      <family val="2"/>
    </font>
    <font>
      <sz val="10"/>
      <name val="Aptos Narrow"/>
      <family val="2"/>
    </font>
    <font>
      <sz val="12"/>
      <name val="Aptos Narrow"/>
      <family val="2"/>
    </font>
    <font>
      <b/>
      <sz val="14"/>
      <name val="Aptos Narrow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A0000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 style="thin">
        <color theme="0" tint="-0.24994659260841701"/>
      </diagonal>
    </border>
    <border diagonalDown="1"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 style="thin">
        <color theme="0" tint="-0.24994659260841701"/>
      </diagonal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163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2" fontId="0" fillId="0" borderId="11" xfId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9" fontId="0" fillId="0" borderId="13" xfId="2" applyFont="1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42" fontId="2" fillId="0" borderId="11" xfId="0" applyNumberFormat="1" applyFont="1" applyBorder="1" applyAlignment="1">
      <alignment horizontal="center" vertical="center"/>
    </xf>
    <xf numFmtId="42" fontId="0" fillId="0" borderId="0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42" fontId="2" fillId="0" borderId="6" xfId="0" applyNumberFormat="1" applyFont="1" applyBorder="1" applyAlignment="1">
      <alignment vertical="center"/>
    </xf>
    <xf numFmtId="42" fontId="0" fillId="0" borderId="0" xfId="1" applyFont="1"/>
    <xf numFmtId="42" fontId="0" fillId="0" borderId="11" xfId="0" applyNumberFormat="1" applyBorder="1"/>
    <xf numFmtId="42" fontId="0" fillId="0" borderId="10" xfId="0" applyNumberFormat="1" applyBorder="1" applyAlignment="1">
      <alignment horizontal="center"/>
    </xf>
    <xf numFmtId="42" fontId="2" fillId="0" borderId="11" xfId="1" applyFont="1" applyBorder="1"/>
    <xf numFmtId="0" fontId="0" fillId="0" borderId="11" xfId="0" applyBorder="1" applyAlignment="1">
      <alignment horizontal="center"/>
    </xf>
    <xf numFmtId="0" fontId="3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0" fontId="3" fillId="0" borderId="25" xfId="2" applyNumberFormat="1" applyFont="1" applyBorder="1" applyAlignment="1">
      <alignment horizontal="center" vertical="center"/>
    </xf>
    <xf numFmtId="0" fontId="5" fillId="0" borderId="0" xfId="0" applyFont="1"/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10" fontId="3" fillId="0" borderId="27" xfId="2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0" fontId="8" fillId="0" borderId="18" xfId="2" applyNumberFormat="1" applyFont="1" applyFill="1" applyBorder="1" applyAlignment="1">
      <alignment horizontal="center" vertical="center"/>
    </xf>
    <xf numFmtId="10" fontId="3" fillId="0" borderId="18" xfId="2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0" fontId="3" fillId="0" borderId="29" xfId="2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0" fontId="3" fillId="0" borderId="33" xfId="2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0" fontId="3" fillId="0" borderId="34" xfId="2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0" fontId="3" fillId="0" borderId="18" xfId="2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4" fontId="11" fillId="4" borderId="18" xfId="3" applyNumberFormat="1" applyFont="1" applyFill="1" applyBorder="1" applyAlignment="1">
      <alignment horizontal="center" vertical="center"/>
    </xf>
    <xf numFmtId="42" fontId="0" fillId="0" borderId="11" xfId="1" applyFont="1" applyBorder="1" applyAlignment="1"/>
    <xf numFmtId="41" fontId="2" fillId="0" borderId="11" xfId="4" applyFont="1" applyBorder="1" applyAlignment="1"/>
    <xf numFmtId="41" fontId="2" fillId="0" borderId="11" xfId="0" applyNumberFormat="1" applyFont="1" applyBorder="1" applyAlignment="1">
      <alignment horizontal="center"/>
    </xf>
    <xf numFmtId="41" fontId="2" fillId="0" borderId="11" xfId="4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42" fontId="2" fillId="0" borderId="43" xfId="0" applyNumberFormat="1" applyFont="1" applyBorder="1" applyAlignment="1">
      <alignment horizontal="center" vertical="center"/>
    </xf>
    <xf numFmtId="0" fontId="0" fillId="0" borderId="11" xfId="0" applyBorder="1"/>
    <xf numFmtId="10" fontId="0" fillId="0" borderId="11" xfId="2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0" xfId="0" applyNumberFormat="1"/>
    <xf numFmtId="43" fontId="0" fillId="0" borderId="11" xfId="3" applyFont="1" applyBorder="1"/>
    <xf numFmtId="43" fontId="0" fillId="0" borderId="11" xfId="3" applyFont="1" applyBorder="1" applyAlignment="1">
      <alignment horizontal="left" wrapText="1"/>
    </xf>
    <xf numFmtId="43" fontId="0" fillId="0" borderId="11" xfId="3" applyFont="1" applyBorder="1" applyAlignment="1">
      <alignment wrapText="1"/>
    </xf>
    <xf numFmtId="44" fontId="0" fillId="0" borderId="11" xfId="5" applyFont="1" applyBorder="1"/>
    <xf numFmtId="0" fontId="0" fillId="0" borderId="0" xfId="0" applyProtection="1">
      <protection locked="0"/>
    </xf>
    <xf numFmtId="0" fontId="15" fillId="0" borderId="0" xfId="6" applyFont="1" applyProtection="1">
      <protection locked="0"/>
    </xf>
    <xf numFmtId="0" fontId="16" fillId="6" borderId="11" xfId="0" applyFont="1" applyFill="1" applyBorder="1" applyAlignment="1" applyProtection="1">
      <alignment horizontal="justify" vertical="center" wrapText="1"/>
      <protection locked="0"/>
    </xf>
    <xf numFmtId="0" fontId="16" fillId="6" borderId="11" xfId="0" applyFont="1" applyFill="1" applyBorder="1" applyAlignment="1" applyProtection="1">
      <alignment horizontal="center" vertical="center"/>
      <protection locked="0"/>
    </xf>
    <xf numFmtId="0" fontId="16" fillId="6" borderId="11" xfId="0" applyFont="1" applyFill="1" applyBorder="1" applyAlignment="1" applyProtection="1">
      <alignment horizontal="left" vertical="center"/>
      <protection locked="0"/>
    </xf>
    <xf numFmtId="165" fontId="16" fillId="7" borderId="11" xfId="5" applyNumberFormat="1" applyFont="1" applyFill="1" applyBorder="1" applyAlignment="1" applyProtection="1">
      <alignment vertical="center"/>
      <protection locked="0"/>
    </xf>
    <xf numFmtId="165" fontId="16" fillId="6" borderId="11" xfId="5" applyNumberFormat="1" applyFont="1" applyFill="1" applyBorder="1" applyAlignment="1" applyProtection="1">
      <alignment vertical="center"/>
      <protection locked="0"/>
    </xf>
    <xf numFmtId="165" fontId="16" fillId="8" borderId="11" xfId="5" applyNumberFormat="1" applyFont="1" applyFill="1" applyBorder="1" applyAlignment="1" applyProtection="1">
      <alignment vertical="center"/>
      <protection locked="0"/>
    </xf>
    <xf numFmtId="42" fontId="0" fillId="0" borderId="0" xfId="0" applyNumberFormat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42" fontId="2" fillId="0" borderId="36" xfId="0" applyNumberFormat="1" applyFont="1" applyBorder="1" applyAlignment="1">
      <alignment horizontal="center"/>
    </xf>
    <xf numFmtId="42" fontId="2" fillId="0" borderId="22" xfId="0" applyNumberFormat="1" applyFont="1" applyBorder="1" applyAlignment="1">
      <alignment horizontal="center"/>
    </xf>
    <xf numFmtId="42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3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2" fontId="0" fillId="0" borderId="11" xfId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2" fontId="2" fillId="0" borderId="47" xfId="0" applyNumberFormat="1" applyFont="1" applyBorder="1" applyAlignment="1">
      <alignment horizontal="center"/>
    </xf>
    <xf numFmtId="42" fontId="2" fillId="0" borderId="48" xfId="0" applyNumberFormat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2" fontId="0" fillId="0" borderId="14" xfId="1" applyFont="1" applyBorder="1" applyAlignment="1">
      <alignment horizontal="center"/>
    </xf>
    <xf numFmtId="42" fontId="0" fillId="0" borderId="15" xfId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44" fontId="0" fillId="0" borderId="47" xfId="0" applyNumberFormat="1" applyBorder="1" applyAlignment="1">
      <alignment horizontal="center"/>
    </xf>
    <xf numFmtId="44" fontId="0" fillId="0" borderId="46" xfId="0" applyNumberForma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4" fillId="5" borderId="53" xfId="0" applyFont="1" applyFill="1" applyBorder="1" applyAlignment="1" applyProtection="1">
      <alignment horizontal="center" vertical="center"/>
      <protection locked="0"/>
    </xf>
    <xf numFmtId="0" fontId="14" fillId="5" borderId="56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14" fillId="5" borderId="52" xfId="0" applyFont="1" applyFill="1" applyBorder="1" applyAlignment="1" applyProtection="1">
      <alignment horizontal="center" vertical="center"/>
      <protection locked="0"/>
    </xf>
    <xf numFmtId="0" fontId="14" fillId="5" borderId="54" xfId="0" applyFont="1" applyFill="1" applyBorder="1" applyAlignment="1" applyProtection="1">
      <alignment horizontal="center" vertical="center"/>
      <protection locked="0"/>
    </xf>
    <xf numFmtId="0" fontId="14" fillId="5" borderId="55" xfId="0" applyFont="1" applyFill="1" applyBorder="1" applyAlignment="1" applyProtection="1">
      <alignment horizontal="center" vertical="center"/>
      <protection locked="0"/>
    </xf>
    <xf numFmtId="0" fontId="13" fillId="5" borderId="50" xfId="0" applyFont="1" applyFill="1" applyBorder="1" applyAlignment="1" applyProtection="1">
      <alignment horizontal="left" vertical="top" wrapText="1"/>
      <protection locked="0"/>
    </xf>
    <xf numFmtId="0" fontId="13" fillId="5" borderId="51" xfId="0" applyFont="1" applyFill="1" applyBorder="1" applyAlignment="1" applyProtection="1">
      <alignment horizontal="left" vertical="top"/>
      <protection locked="0"/>
    </xf>
  </cellXfs>
  <cellStyles count="7">
    <cellStyle name="Millares" xfId="3" builtinId="3"/>
    <cellStyle name="Millares [0]" xfId="4" builtinId="6"/>
    <cellStyle name="Moneda" xfId="5" builtinId="4"/>
    <cellStyle name="Moneda [0]" xfId="1" builtinId="7"/>
    <cellStyle name="Normal" xfId="0" builtinId="0"/>
    <cellStyle name="Normal 3 2" xfId="6" xr:uid="{F1918B55-1AD4-4A85-B70B-216E501AFB48}"/>
    <cellStyle name="Porcentaje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Windows/Documents/ISVIMED/MEJORAMIENTO/PRESUPUESTOS/INDIRECTOS/ANALISIS%20REDISTRIBUCION%2016.11.2025/2025.11.16%20AIU%20FONVIVIENDA%20-%20COSEICO.xlsm" TargetMode="External"/><Relationship Id="rId1" Type="http://schemas.openxmlformats.org/officeDocument/2006/relationships/externalLinkPath" Target="file:///C:/Users/Windows/Documents/ISVIMED/MEJORAMIENTO/PRESUPUESTOS/INDIRECTOS/ANALISIS%20REDISTRIBUCION%2016.11.2025/2025.11.16%20AIU%20FONVIVIENDA%20-%20COSEICO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j.felipe/OneDrive/Escritorio/PROYECTOS%20ISVIMED/Brezze/PRESUPUESTO%20INTERVENTORIA.xlsx" TargetMode="External"/><Relationship Id="rId1" Type="http://schemas.openxmlformats.org/officeDocument/2006/relationships/externalLinkPath" Target="file:///C:/Users/j.felipe/OneDrive/Escritorio/PROYECTOS%20ISVIMED/Brezze/PRESUPUESTO%20INTERVEN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so 1"/>
      <sheetName val="Paso 2-Para publicar Secop"/>
      <sheetName val="Anexo Factor Prestacional"/>
      <sheetName val="Presupuesto"/>
      <sheetName val="APUs"/>
      <sheetName val="Inversión Social GMSA"/>
      <sheetName val="Inversión Ambiental"/>
      <sheetName val="Inversión Ambiental ACTUAL"/>
      <sheetName val="PMT"/>
      <sheetName val="SST"/>
      <sheetName val="Anexo Salarios Referencia"/>
      <sheetName val="Tablas de Soporte"/>
      <sheetName val="Formula de Re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C19" t="str">
            <v>Factor prestacional</v>
          </cell>
          <cell r="D19">
            <v>1.45</v>
          </cell>
          <cell r="E19" t="str">
            <v>Por Salarios</v>
          </cell>
          <cell r="F19"/>
          <cell r="G19"/>
          <cell r="H19"/>
          <cell r="I19"/>
        </row>
        <row r="20">
          <cell r="C20"/>
          <cell r="D20" t="str">
            <v>Categoria 1 y 2</v>
          </cell>
          <cell r="E20" t="str">
            <v>Categoria 3</v>
          </cell>
          <cell r="F20" t="str">
            <v>Categoria 4</v>
          </cell>
          <cell r="G20" t="str">
            <v>Categoria 5</v>
          </cell>
          <cell r="H20" t="str">
            <v>Categoria 6</v>
          </cell>
          <cell r="I20" t="str">
            <v>Categoria 7</v>
          </cell>
        </row>
        <row r="21">
          <cell r="A21" t="str">
            <v>Nivel de responsabilidad en un Proyecto de Obra</v>
          </cell>
          <cell r="B21"/>
          <cell r="D21" t="str">
            <v>&gt;= 10  &gt; 12 años</v>
          </cell>
          <cell r="E21" t="str">
            <v>&gt;= 8  Años</v>
          </cell>
          <cell r="F21" t="str">
            <v>&gt;= 6  Años</v>
          </cell>
          <cell r="G21" t="str">
            <v>&gt;= 4  Años</v>
          </cell>
          <cell r="H21" t="str">
            <v>&gt;= 2  años</v>
          </cell>
          <cell r="I21" t="str">
            <v>&gt; 0 &lt; 2 años</v>
          </cell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</row>
        <row r="23">
          <cell r="D23"/>
          <cell r="E23"/>
          <cell r="F23"/>
          <cell r="G23"/>
          <cell r="H23"/>
          <cell r="I23"/>
        </row>
        <row r="24">
          <cell r="A24" t="str">
            <v>Totalmente responsable, tanto administrativa como técnicamente del proyecto. Establece las políticas y los controles financieros</v>
          </cell>
          <cell r="B24" t="str">
            <v>A</v>
          </cell>
          <cell r="C24" t="str">
            <v>Profesional Especialista Coordinador (A)</v>
          </cell>
          <cell r="D24">
            <v>9540000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Responsable de tomar decisiones administrativas y técnicas.</v>
          </cell>
          <cell r="B25" t="str">
            <v>B</v>
          </cell>
          <cell r="C25" t="str">
            <v>Profesional Especialista Director (B)</v>
          </cell>
          <cell r="D25">
            <v>8745000</v>
          </cell>
          <cell r="E25">
            <v>7950000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Responsable de tomar decisiones administrativas y técnicas con reporte a una instancia superior.</v>
          </cell>
          <cell r="B26" t="str">
            <v>C</v>
          </cell>
          <cell r="C26" t="str">
            <v>Profesional Posgrado Residente (C)</v>
          </cell>
          <cell r="D26">
            <v>8721680.0000000019</v>
          </cell>
          <cell r="E26">
            <v>7928800.0000000009</v>
          </cell>
          <cell r="F26">
            <v>7208000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Responsable de tomar decisiones técnicas con reporte a una instancia superior.</v>
          </cell>
          <cell r="B27" t="str">
            <v>D</v>
          </cell>
          <cell r="C27" t="str">
            <v>Profesional Pregrado Residente (D)</v>
          </cell>
          <cell r="D27">
            <v>0</v>
          </cell>
          <cell r="E27">
            <v>6797780.0000000019</v>
          </cell>
          <cell r="F27">
            <v>6179800.0000000009</v>
          </cell>
          <cell r="G27">
            <v>5618000</v>
          </cell>
          <cell r="H27">
            <v>0</v>
          </cell>
          <cell r="I27">
            <v>0</v>
          </cell>
        </row>
        <row r="28">
          <cell r="A28" t="str">
            <v>Asesora, elabora estudios independientes, realiza análisis, interpreta y concluye, con verificación de un director</v>
          </cell>
          <cell r="B28" t="str">
            <v>E</v>
          </cell>
          <cell r="C28" t="str">
            <v>Tecnólogo (E)</v>
          </cell>
          <cell r="D28">
            <v>0</v>
          </cell>
          <cell r="E28">
            <v>0</v>
          </cell>
          <cell r="F28">
            <v>4104320.0000000009</v>
          </cell>
          <cell r="G28">
            <v>3731200.0000000005</v>
          </cell>
          <cell r="H28">
            <v>3392000</v>
          </cell>
          <cell r="I28">
            <v>0</v>
          </cell>
        </row>
        <row r="29">
          <cell r="A29" t="str">
            <v>La toma de decisiones están fijadas por medio de guías.</v>
          </cell>
          <cell r="B29" t="str">
            <v>F</v>
          </cell>
          <cell r="C29" t="str">
            <v>Técnico (F)</v>
          </cell>
          <cell r="D29">
            <v>0</v>
          </cell>
          <cell r="E29">
            <v>0</v>
          </cell>
          <cell r="F29">
            <v>0</v>
          </cell>
          <cell r="G29">
            <v>3334760.0000000009</v>
          </cell>
          <cell r="H29">
            <v>3031600.0000000005</v>
          </cell>
          <cell r="I29">
            <v>2756000</v>
          </cell>
        </row>
        <row r="30">
          <cell r="A30" t="str">
            <v>Decisiones rutinarias y están previstas en manuales de procedimientos</v>
          </cell>
          <cell r="B30" t="str">
            <v>G</v>
          </cell>
          <cell r="C30" t="str">
            <v>Técnico (G)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1818960.0000000002</v>
          </cell>
          <cell r="I30">
            <v>1653600</v>
          </cell>
        </row>
        <row r="31">
          <cell r="A31" t="str">
            <v>Apoyan en campos específicos.</v>
          </cell>
          <cell r="B31" t="str">
            <v>H</v>
          </cell>
          <cell r="C31" t="str">
            <v>Auxiliar (H)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1423500</v>
          </cell>
        </row>
        <row r="32">
          <cell r="A32"/>
          <cell r="B32"/>
          <cell r="C32" t="str">
            <v>Básico sin experiencia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1423500</v>
          </cell>
        </row>
      </sheetData>
      <sheetData sheetId="11">
        <row r="1">
          <cell r="B1">
            <v>1423500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PERSONAL BASE"/>
      <sheetName val="PRESUPUESTO TOTAL"/>
      <sheetName val="PRESUPUESTO TOTAL COLINAS"/>
      <sheetName val="FM"/>
    </sheetNames>
    <sheetDataSet>
      <sheetData sheetId="0" refreshError="1"/>
      <sheetData sheetId="1" refreshError="1"/>
      <sheetData sheetId="2" refreshError="1"/>
      <sheetData sheetId="3" refreshError="1">
        <row r="42">
          <cell r="C42">
            <v>2.33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869-E768-4156-B177-CD060731AE54}">
  <sheetPr>
    <pageSetUpPr fitToPage="1"/>
  </sheetPr>
  <dimension ref="A1:V40"/>
  <sheetViews>
    <sheetView tabSelected="1" topLeftCell="A6" zoomScale="50" zoomScaleNormal="105" workbookViewId="0">
      <selection activeCell="E10" sqref="E10"/>
    </sheetView>
  </sheetViews>
  <sheetFormatPr baseColWidth="10" defaultRowHeight="15" x14ac:dyDescent="0.2"/>
  <cols>
    <col min="1" max="1" width="7.1640625" bestFit="1" customWidth="1"/>
    <col min="2" max="2" width="11.1640625" bestFit="1" customWidth="1"/>
    <col min="3" max="3" width="26.6640625" customWidth="1"/>
    <col min="4" max="4" width="18.83203125" bestFit="1" customWidth="1"/>
    <col min="5" max="5" width="17.6640625" customWidth="1"/>
    <col min="6" max="6" width="18.5" customWidth="1"/>
    <col min="7" max="7" width="17.33203125" customWidth="1"/>
    <col min="8" max="8" width="12.1640625" bestFit="1" customWidth="1"/>
    <col min="9" max="9" width="21.83203125" customWidth="1"/>
    <col min="10" max="10" width="16.83203125" customWidth="1"/>
    <col min="12" max="12" width="11.1640625" bestFit="1" customWidth="1"/>
    <col min="13" max="13" width="13.6640625" customWidth="1"/>
    <col min="14" max="14" width="19" customWidth="1"/>
    <col min="15" max="15" width="17.1640625" customWidth="1"/>
    <col min="16" max="16" width="10.6640625" customWidth="1"/>
    <col min="17" max="17" width="16.6640625" customWidth="1"/>
    <col min="18" max="18" width="14.83203125" customWidth="1"/>
    <col min="19" max="19" width="17.33203125" bestFit="1" customWidth="1"/>
    <col min="20" max="21" width="11.1640625" bestFit="1" customWidth="1"/>
    <col min="22" max="22" width="11.83203125" bestFit="1" customWidth="1"/>
  </cols>
  <sheetData>
    <row r="1" spans="2:22" ht="16" thickBot="1" x14ac:dyDescent="0.25"/>
    <row r="2" spans="2:22" ht="16" thickBot="1" x14ac:dyDescent="0.25">
      <c r="B2" s="136" t="s">
        <v>47</v>
      </c>
      <c r="C2" s="137"/>
      <c r="D2" s="138"/>
    </row>
    <row r="3" spans="2:22" ht="16" thickBot="1" x14ac:dyDescent="0.25">
      <c r="B3" s="143" t="s">
        <v>45</v>
      </c>
      <c r="C3" s="144"/>
      <c r="D3" s="27" t="s">
        <v>27</v>
      </c>
      <c r="E3" s="34"/>
    </row>
    <row r="4" spans="2:22" x14ac:dyDescent="0.2">
      <c r="B4" s="142" t="s">
        <v>44</v>
      </c>
      <c r="C4" s="142"/>
      <c r="D4" s="36">
        <f>+H27</f>
        <v>325939768.60905546</v>
      </c>
      <c r="F4" s="93"/>
    </row>
    <row r="5" spans="2:22" x14ac:dyDescent="0.2">
      <c r="B5" s="97" t="s">
        <v>43</v>
      </c>
      <c r="C5" s="97"/>
      <c r="D5" s="35">
        <f>+R29</f>
        <v>1169298231.9066553</v>
      </c>
      <c r="F5" s="93"/>
    </row>
    <row r="6" spans="2:22" x14ac:dyDescent="0.2">
      <c r="B6" s="94" t="s">
        <v>125</v>
      </c>
      <c r="C6" s="96"/>
      <c r="D6" s="35">
        <f>+R39</f>
        <v>84301971.872639984</v>
      </c>
    </row>
    <row r="7" spans="2:22" ht="16" thickBot="1" x14ac:dyDescent="0.25">
      <c r="B7" s="103" t="s">
        <v>46</v>
      </c>
      <c r="C7" s="103"/>
      <c r="D7" s="37">
        <f>+SUM(D4:D6)</f>
        <v>1579539972.3883507</v>
      </c>
      <c r="F7" s="93"/>
    </row>
    <row r="8" spans="2:22" ht="16" thickBot="1" x14ac:dyDescent="0.25">
      <c r="P8" s="112" t="s">
        <v>0</v>
      </c>
      <c r="Q8" s="113"/>
      <c r="R8" s="113"/>
      <c r="S8" s="1">
        <v>16</v>
      </c>
      <c r="T8">
        <f>S8*30</f>
        <v>480</v>
      </c>
      <c r="U8">
        <f>S8*8</f>
        <v>128</v>
      </c>
      <c r="V8">
        <f>U8/T8</f>
        <v>0.26666666666666666</v>
      </c>
    </row>
    <row r="9" spans="2:22" ht="16" thickBot="1" x14ac:dyDescent="0.25">
      <c r="F9" s="123" t="s">
        <v>1</v>
      </c>
      <c r="G9" s="124"/>
      <c r="H9" s="124"/>
      <c r="I9" s="2">
        <v>6</v>
      </c>
      <c r="P9" s="114" t="s">
        <v>163</v>
      </c>
      <c r="Q9" s="115"/>
      <c r="R9" s="115"/>
      <c r="S9" s="3">
        <v>18</v>
      </c>
      <c r="T9">
        <f>+T8*2</f>
        <v>960</v>
      </c>
    </row>
    <row r="10" spans="2:22" ht="16" thickBot="1" x14ac:dyDescent="0.25">
      <c r="T10">
        <f>96/4</f>
        <v>24</v>
      </c>
    </row>
    <row r="11" spans="2:22" ht="16" thickBot="1" x14ac:dyDescent="0.25">
      <c r="B11" s="116" t="s">
        <v>2</v>
      </c>
      <c r="C11" s="117"/>
      <c r="D11" s="117"/>
      <c r="E11" s="117"/>
      <c r="F11" s="117"/>
      <c r="G11" s="117"/>
      <c r="H11" s="117"/>
      <c r="I11" s="118"/>
      <c r="J11" s="4"/>
      <c r="L11" s="116" t="s">
        <v>3</v>
      </c>
      <c r="M11" s="117"/>
      <c r="N11" s="117"/>
      <c r="O11" s="117"/>
      <c r="P11" s="117"/>
      <c r="Q11" s="117"/>
      <c r="R11" s="117"/>
      <c r="S11" s="118"/>
    </row>
    <row r="12" spans="2:22" ht="16" x14ac:dyDescent="0.2">
      <c r="B12" s="5" t="s">
        <v>4</v>
      </c>
      <c r="C12" s="5" t="s">
        <v>5</v>
      </c>
      <c r="D12" s="5" t="s">
        <v>6</v>
      </c>
      <c r="E12" s="5" t="s">
        <v>7</v>
      </c>
      <c r="F12" s="6" t="s">
        <v>114</v>
      </c>
      <c r="G12" s="5" t="s">
        <v>8</v>
      </c>
      <c r="H12" s="5" t="s">
        <v>9</v>
      </c>
      <c r="I12" s="6" t="s">
        <v>10</v>
      </c>
      <c r="J12" s="7"/>
      <c r="L12" s="5" t="s">
        <v>4</v>
      </c>
      <c r="M12" s="5" t="s">
        <v>5</v>
      </c>
      <c r="N12" s="5" t="s">
        <v>6</v>
      </c>
      <c r="O12" s="5" t="s">
        <v>7</v>
      </c>
      <c r="P12" s="6" t="s">
        <v>114</v>
      </c>
      <c r="Q12" s="5" t="s">
        <v>8</v>
      </c>
      <c r="R12" s="5" t="s">
        <v>9</v>
      </c>
      <c r="S12" s="6" t="s">
        <v>10</v>
      </c>
    </row>
    <row r="13" spans="2:22" x14ac:dyDescent="0.2">
      <c r="B13" s="111" t="s">
        <v>11</v>
      </c>
      <c r="C13" s="111"/>
      <c r="D13" s="111"/>
      <c r="E13" s="111"/>
      <c r="F13" s="111"/>
      <c r="G13" s="111"/>
      <c r="H13" s="111"/>
      <c r="I13" s="111"/>
      <c r="J13" s="9"/>
      <c r="L13" s="111" t="s">
        <v>11</v>
      </c>
      <c r="M13" s="111"/>
      <c r="N13" s="111"/>
      <c r="O13" s="111"/>
      <c r="P13" s="111"/>
      <c r="Q13" s="111"/>
      <c r="R13" s="111"/>
      <c r="S13" s="111"/>
    </row>
    <row r="14" spans="2:22" ht="32" x14ac:dyDescent="0.2">
      <c r="B14" s="8">
        <v>1</v>
      </c>
      <c r="C14" s="10" t="s">
        <v>12</v>
      </c>
      <c r="D14" s="8">
        <v>1</v>
      </c>
      <c r="E14" s="11">
        <f>+'ANEXO SALARIOS REFERENCIA'!E9</f>
        <v>10026540</v>
      </c>
      <c r="F14" s="12">
        <f>+[2]FM!$C$42</f>
        <v>2.33</v>
      </c>
      <c r="G14" s="13">
        <v>0.5</v>
      </c>
      <c r="H14" s="8">
        <v>6</v>
      </c>
      <c r="I14" s="14">
        <f>+D14*E14*F14*G14*H14</f>
        <v>70085514.599999994</v>
      </c>
      <c r="J14" s="15"/>
      <c r="L14" s="8">
        <v>1</v>
      </c>
      <c r="M14" s="10" t="s">
        <v>12</v>
      </c>
      <c r="N14" s="8">
        <v>1</v>
      </c>
      <c r="O14" s="11">
        <f>+'ANEXO SALARIOS REFERENCIA'!E9</f>
        <v>10026540</v>
      </c>
      <c r="P14" s="12">
        <f>+[2]FM!$C$42</f>
        <v>2.33</v>
      </c>
      <c r="Q14" s="13">
        <v>0.5</v>
      </c>
      <c r="R14" s="8">
        <f>+S9</f>
        <v>18</v>
      </c>
      <c r="S14" s="14">
        <f>+N14*O14*P14*Q14*R14</f>
        <v>210256543.79999998</v>
      </c>
    </row>
    <row r="15" spans="2:22" ht="32" x14ac:dyDescent="0.2">
      <c r="B15" s="8">
        <v>2</v>
      </c>
      <c r="C15" s="10" t="s">
        <v>13</v>
      </c>
      <c r="D15" s="8">
        <v>1</v>
      </c>
      <c r="E15" s="11">
        <f>+'ANEXO SALARIOS REFERENCIA'!G11</f>
        <v>7575607.9999999991</v>
      </c>
      <c r="F15" s="12">
        <f>+[2]FM!$C$42</f>
        <v>2.33</v>
      </c>
      <c r="G15" s="13">
        <v>0.3</v>
      </c>
      <c r="H15" s="8">
        <f t="shared" ref="H15:H19" si="0">+$I$9</f>
        <v>6</v>
      </c>
      <c r="I15" s="14">
        <f t="shared" ref="I15:I19" si="1">+D15*E15*F15*G15*H15</f>
        <v>31772099.951999992</v>
      </c>
      <c r="J15" s="15"/>
      <c r="L15" s="8">
        <v>2</v>
      </c>
      <c r="M15" s="10" t="s">
        <v>14</v>
      </c>
      <c r="N15" s="8">
        <v>1</v>
      </c>
      <c r="O15" s="11">
        <f>+'ANEXO SALARIOS REFERENCIA'!G28</f>
        <v>6494969.8000000007</v>
      </c>
      <c r="P15" s="12">
        <f>+[2]FM!$C$42</f>
        <v>2.33</v>
      </c>
      <c r="Q15" s="13">
        <v>1</v>
      </c>
      <c r="R15" s="8">
        <f>+S9</f>
        <v>18</v>
      </c>
      <c r="S15" s="14">
        <f t="shared" ref="S15:S19" si="2">+N15*O15*P15*Q15*R15</f>
        <v>272399033.412</v>
      </c>
    </row>
    <row r="16" spans="2:22" ht="32" x14ac:dyDescent="0.2">
      <c r="B16" s="8">
        <v>3</v>
      </c>
      <c r="C16" s="10" t="s">
        <v>15</v>
      </c>
      <c r="D16" s="8">
        <v>1</v>
      </c>
      <c r="E16" s="11">
        <f>+E15</f>
        <v>7575607.9999999991</v>
      </c>
      <c r="F16" s="12">
        <f>+[2]FM!$C$42</f>
        <v>2.33</v>
      </c>
      <c r="G16" s="13">
        <v>0.3</v>
      </c>
      <c r="H16" s="8">
        <f t="shared" si="0"/>
        <v>6</v>
      </c>
      <c r="I16" s="14">
        <f t="shared" si="1"/>
        <v>31772099.951999992</v>
      </c>
      <c r="J16" s="15"/>
      <c r="L16" s="8">
        <v>3</v>
      </c>
      <c r="M16" s="10" t="s">
        <v>16</v>
      </c>
      <c r="N16" s="8">
        <v>1</v>
      </c>
      <c r="O16" s="11">
        <f>+'ANEXO SALARIOS REFERENCIA'!H28</f>
        <v>5904518</v>
      </c>
      <c r="P16" s="12">
        <f>+[2]FM!$C$42</f>
        <v>2.33</v>
      </c>
      <c r="Q16" s="13">
        <v>1</v>
      </c>
      <c r="R16" s="8">
        <f>+$S$8</f>
        <v>16</v>
      </c>
      <c r="S16" s="14">
        <f>+N16*O16*P16*Q16*R16</f>
        <v>220120431.04000002</v>
      </c>
    </row>
    <row r="17" spans="1:19" ht="32" x14ac:dyDescent="0.2">
      <c r="B17" s="8">
        <v>4</v>
      </c>
      <c r="C17" s="10" t="s">
        <v>17</v>
      </c>
      <c r="D17" s="8">
        <v>1</v>
      </c>
      <c r="E17" s="11">
        <f>+E16</f>
        <v>7575607.9999999991</v>
      </c>
      <c r="F17" s="12">
        <f>+[2]FM!$C$42</f>
        <v>2.33</v>
      </c>
      <c r="G17" s="13">
        <v>0.3</v>
      </c>
      <c r="H17" s="8">
        <f t="shared" si="0"/>
        <v>6</v>
      </c>
      <c r="I17" s="14">
        <f t="shared" si="1"/>
        <v>31772099.951999992</v>
      </c>
      <c r="J17" s="15"/>
      <c r="L17" s="16">
        <v>4</v>
      </c>
      <c r="M17" s="10" t="s">
        <v>15</v>
      </c>
      <c r="N17" s="8">
        <v>1</v>
      </c>
      <c r="O17" s="11">
        <f>+E16</f>
        <v>7575607.9999999991</v>
      </c>
      <c r="P17" s="12">
        <f>+[2]FM!$C$42</f>
        <v>2.33</v>
      </c>
      <c r="Q17" s="17">
        <v>0.2</v>
      </c>
      <c r="R17" s="8">
        <f>+S8/2</f>
        <v>8</v>
      </c>
      <c r="S17" s="14">
        <f>+N17*O17*P17*Q17*R17</f>
        <v>28241866.623999998</v>
      </c>
    </row>
    <row r="18" spans="1:19" ht="32" x14ac:dyDescent="0.2">
      <c r="B18" s="8">
        <v>5</v>
      </c>
      <c r="C18" s="10" t="s">
        <v>18</v>
      </c>
      <c r="D18" s="8">
        <v>1</v>
      </c>
      <c r="E18" s="11">
        <f>+E17</f>
        <v>7575607.9999999991</v>
      </c>
      <c r="F18" s="12">
        <f>+[2]FM!$C$42</f>
        <v>2.33</v>
      </c>
      <c r="G18" s="13">
        <v>0.3</v>
      </c>
      <c r="H18" s="8">
        <f t="shared" si="0"/>
        <v>6</v>
      </c>
      <c r="I18" s="14">
        <f t="shared" si="1"/>
        <v>31772099.951999992</v>
      </c>
      <c r="J18" s="15"/>
      <c r="L18" s="8">
        <v>5</v>
      </c>
      <c r="M18" s="10" t="s">
        <v>19</v>
      </c>
      <c r="N18" s="8">
        <v>1</v>
      </c>
      <c r="O18" s="11">
        <f>+'ANEXO SALARIOS REFERENCIA'!H28</f>
        <v>5904518</v>
      </c>
      <c r="P18" s="12">
        <f>+[2]FM!$C$42</f>
        <v>2.33</v>
      </c>
      <c r="Q18" s="13">
        <v>0.2</v>
      </c>
      <c r="R18" s="8">
        <f>+$S$8</f>
        <v>16</v>
      </c>
      <c r="S18" s="14">
        <f t="shared" si="2"/>
        <v>44024086.208000004</v>
      </c>
    </row>
    <row r="19" spans="1:19" ht="16" x14ac:dyDescent="0.2">
      <c r="B19" s="8">
        <v>6</v>
      </c>
      <c r="C19" s="10" t="s">
        <v>20</v>
      </c>
      <c r="D19" s="8">
        <v>1</v>
      </c>
      <c r="E19" s="11">
        <f>+E18</f>
        <v>7575607.9999999991</v>
      </c>
      <c r="F19" s="12">
        <f>+[2]FM!$C$42</f>
        <v>2.33</v>
      </c>
      <c r="G19" s="13">
        <v>0.3</v>
      </c>
      <c r="H19" s="8">
        <f t="shared" si="0"/>
        <v>6</v>
      </c>
      <c r="I19" s="14">
        <f t="shared" si="1"/>
        <v>31772099.951999992</v>
      </c>
      <c r="J19" s="15"/>
      <c r="L19" s="8">
        <v>6</v>
      </c>
      <c r="M19" s="10" t="s">
        <v>21</v>
      </c>
      <c r="N19" s="8">
        <v>1</v>
      </c>
      <c r="O19" s="11">
        <f>+'ANEXO SALARIOS REFERENCIA'!H13</f>
        <v>3921491.2</v>
      </c>
      <c r="P19" s="12">
        <f>+[2]FM!$C$42</f>
        <v>2.33</v>
      </c>
      <c r="Q19" s="13">
        <v>1</v>
      </c>
      <c r="R19" s="8">
        <f>+$S$8</f>
        <v>16</v>
      </c>
      <c r="S19" s="14">
        <f t="shared" si="2"/>
        <v>146193191.93600002</v>
      </c>
    </row>
    <row r="20" spans="1:19" ht="17" thickBot="1" x14ac:dyDescent="0.25">
      <c r="B20" s="18">
        <v>7</v>
      </c>
      <c r="C20" s="19" t="s">
        <v>128</v>
      </c>
      <c r="D20" s="18">
        <v>1</v>
      </c>
      <c r="E20" s="11">
        <f>+O18</f>
        <v>5904518</v>
      </c>
      <c r="F20" s="12">
        <f>+[2]FM!$C$42</f>
        <v>2.33</v>
      </c>
      <c r="G20" s="20">
        <v>0.3</v>
      </c>
      <c r="H20" s="18">
        <v>6</v>
      </c>
      <c r="I20" s="21">
        <f>+D20*E20*F20*G20*H20</f>
        <v>24763548.492000002</v>
      </c>
      <c r="J20" s="15"/>
      <c r="L20" s="8"/>
      <c r="M20" s="10"/>
      <c r="N20" s="8"/>
      <c r="O20" s="11"/>
      <c r="P20" s="12"/>
      <c r="Q20" s="13"/>
      <c r="R20" s="8"/>
      <c r="S20" s="14"/>
    </row>
    <row r="21" spans="1:19" x14ac:dyDescent="0.2">
      <c r="B21" s="139" t="s">
        <v>22</v>
      </c>
      <c r="C21" s="140"/>
      <c r="D21" s="140"/>
      <c r="E21" s="140"/>
      <c r="F21" s="140"/>
      <c r="G21" s="140"/>
      <c r="H21" s="140"/>
      <c r="I21" s="76">
        <f>+SUM(I14:I20)</f>
        <v>253709562.85199997</v>
      </c>
      <c r="J21" s="24"/>
      <c r="L21" s="107" t="s">
        <v>22</v>
      </c>
      <c r="M21" s="107"/>
      <c r="N21" s="107"/>
      <c r="O21" s="107"/>
      <c r="P21" s="107"/>
      <c r="Q21" s="107"/>
      <c r="R21" s="107"/>
      <c r="S21" s="25">
        <f>+SUM(S14:S20)</f>
        <v>921235153.0200001</v>
      </c>
    </row>
    <row r="22" spans="1:19" x14ac:dyDescent="0.2">
      <c r="B22" s="97" t="s">
        <v>115</v>
      </c>
      <c r="C22" s="97"/>
      <c r="D22" s="97"/>
      <c r="E22" s="97"/>
      <c r="F22" s="97"/>
      <c r="G22" s="97"/>
      <c r="H22" s="97"/>
      <c r="I22" s="97"/>
      <c r="J22" s="26"/>
      <c r="L22" s="97" t="s">
        <v>115</v>
      </c>
      <c r="M22" s="97"/>
      <c r="N22" s="97"/>
      <c r="O22" s="97"/>
      <c r="P22" s="97"/>
      <c r="Q22" s="97"/>
      <c r="R22" s="97"/>
      <c r="S22" s="97"/>
    </row>
    <row r="23" spans="1:19" x14ac:dyDescent="0.2">
      <c r="B23" s="97" t="s">
        <v>120</v>
      </c>
      <c r="C23" s="97"/>
      <c r="D23" s="97"/>
      <c r="E23" s="97"/>
      <c r="F23" s="97"/>
      <c r="G23" s="77">
        <v>3</v>
      </c>
      <c r="H23" s="35">
        <f>+E19</f>
        <v>7575607.9999999991</v>
      </c>
      <c r="I23" s="35">
        <f>+G23*H23</f>
        <v>22726823.999999996</v>
      </c>
      <c r="J23" s="28"/>
      <c r="L23" s="97" t="s">
        <v>4</v>
      </c>
      <c r="M23" s="97"/>
      <c r="N23" s="97"/>
      <c r="O23" s="97"/>
      <c r="P23" s="97"/>
      <c r="Q23" s="38" t="s">
        <v>116</v>
      </c>
      <c r="R23" s="38" t="s">
        <v>6</v>
      </c>
      <c r="S23" s="38" t="s">
        <v>118</v>
      </c>
    </row>
    <row r="24" spans="1:19" x14ac:dyDescent="0.2">
      <c r="B24" s="103" t="s">
        <v>119</v>
      </c>
      <c r="C24" s="103"/>
      <c r="D24" s="103"/>
      <c r="E24" s="103"/>
      <c r="F24" s="103"/>
      <c r="G24" s="103"/>
      <c r="H24" s="100">
        <f>+I21+I23</f>
        <v>276436386.85199994</v>
      </c>
      <c r="I24" s="97"/>
      <c r="J24" s="79"/>
      <c r="L24" s="97" t="s">
        <v>117</v>
      </c>
      <c r="M24" s="97"/>
      <c r="N24" s="97"/>
      <c r="O24" s="97"/>
      <c r="P24" s="97"/>
      <c r="Q24" s="70">
        <v>750000</v>
      </c>
      <c r="R24" s="73">
        <f>+S8</f>
        <v>16</v>
      </c>
      <c r="S24" s="72">
        <f>+Q24*R24</f>
        <v>12000000</v>
      </c>
    </row>
    <row r="25" spans="1:19" x14ac:dyDescent="0.2">
      <c r="B25" s="97" t="s">
        <v>23</v>
      </c>
      <c r="C25" s="97"/>
      <c r="D25" s="97"/>
      <c r="E25" s="97"/>
      <c r="F25" s="97"/>
      <c r="G25" s="74">
        <v>0.19</v>
      </c>
      <c r="H25" s="108">
        <f>+I21*G25</f>
        <v>48204816.941879995</v>
      </c>
      <c r="I25" s="108"/>
      <c r="J25" s="28"/>
      <c r="L25" s="94" t="s">
        <v>120</v>
      </c>
      <c r="M25" s="95"/>
      <c r="N25" s="95"/>
      <c r="O25" s="95"/>
      <c r="P25" s="96"/>
      <c r="Q25" s="70">
        <f>+'ANEXO SALARIOS REFERENCIA'!G27</f>
        <v>7575607.9999999991</v>
      </c>
      <c r="R25" s="71">
        <v>6</v>
      </c>
      <c r="S25" s="72">
        <f>+Q25*R25</f>
        <v>45453647.999999993</v>
      </c>
    </row>
    <row r="26" spans="1:19" x14ac:dyDescent="0.2">
      <c r="B26" s="94" t="s">
        <v>121</v>
      </c>
      <c r="C26" s="95"/>
      <c r="D26" s="95"/>
      <c r="E26" s="95"/>
      <c r="F26" s="96"/>
      <c r="G26" s="78">
        <f>4/1000</f>
        <v>4.0000000000000001E-3</v>
      </c>
      <c r="H26" s="141">
        <f>+H27*G26</f>
        <v>1303759.074436222</v>
      </c>
      <c r="I26" s="96"/>
      <c r="J26" s="28"/>
      <c r="L26" s="103" t="s">
        <v>119</v>
      </c>
      <c r="M26" s="103"/>
      <c r="N26" s="103"/>
      <c r="O26" s="103"/>
      <c r="P26" s="103"/>
      <c r="Q26" s="103"/>
      <c r="R26" s="100">
        <f>+S21+S24+S25</f>
        <v>978688801.0200001</v>
      </c>
      <c r="S26" s="97"/>
    </row>
    <row r="27" spans="1:19" ht="16" thickBot="1" x14ac:dyDescent="0.25">
      <c r="B27" s="127" t="s">
        <v>24</v>
      </c>
      <c r="C27" s="128"/>
      <c r="D27" s="128"/>
      <c r="E27" s="128"/>
      <c r="F27" s="128"/>
      <c r="G27" s="129"/>
      <c r="H27" s="125">
        <f>+(H24+H25)*(1.004)</f>
        <v>325939768.60905546</v>
      </c>
      <c r="I27" s="126"/>
      <c r="J27" s="28"/>
      <c r="L27" s="97" t="s">
        <v>23</v>
      </c>
      <c r="M27" s="97"/>
      <c r="N27" s="97"/>
      <c r="O27" s="97"/>
      <c r="P27" s="97"/>
      <c r="Q27" s="74">
        <v>0.19</v>
      </c>
      <c r="R27" s="108">
        <f>+R26*Q27</f>
        <v>185950872.19380003</v>
      </c>
      <c r="S27" s="108"/>
    </row>
    <row r="28" spans="1:19" ht="16" thickBot="1" x14ac:dyDescent="0.25">
      <c r="L28" s="101" t="s">
        <v>121</v>
      </c>
      <c r="M28" s="101"/>
      <c r="N28" s="101"/>
      <c r="O28" s="101"/>
      <c r="P28" s="101"/>
      <c r="Q28" s="75">
        <v>4.0000000000000001E-3</v>
      </c>
      <c r="R28" s="102">
        <f>+R29*Q28</f>
        <v>4677192.927626621</v>
      </c>
      <c r="S28" s="101"/>
    </row>
    <row r="29" spans="1:19" ht="16" thickBot="1" x14ac:dyDescent="0.25">
      <c r="A29" s="22" t="s">
        <v>4</v>
      </c>
      <c r="B29" s="109" t="s">
        <v>25</v>
      </c>
      <c r="C29" s="109"/>
      <c r="D29" s="23" t="s">
        <v>26</v>
      </c>
      <c r="E29" s="23" t="s">
        <v>27</v>
      </c>
      <c r="F29" s="109" t="s">
        <v>28</v>
      </c>
      <c r="G29" s="109"/>
      <c r="H29" s="109"/>
      <c r="I29" s="110"/>
      <c r="J29" s="28"/>
      <c r="L29" s="104" t="s">
        <v>122</v>
      </c>
      <c r="M29" s="105"/>
      <c r="N29" s="105"/>
      <c r="O29" s="105"/>
      <c r="P29" s="105"/>
      <c r="Q29" s="106"/>
      <c r="R29" s="98">
        <f>+(R26+R27)*(1.004)</f>
        <v>1169298231.9066553</v>
      </c>
      <c r="S29" s="99"/>
    </row>
    <row r="30" spans="1:19" ht="41" customHeight="1" thickBot="1" x14ac:dyDescent="0.25">
      <c r="A30" s="29">
        <v>1</v>
      </c>
      <c r="B30" s="152" t="s">
        <v>29</v>
      </c>
      <c r="C30" s="154"/>
      <c r="D30" s="30">
        <v>0.04</v>
      </c>
      <c r="E30" s="31">
        <f>+D30*H27</f>
        <v>13037590.744362218</v>
      </c>
      <c r="F30" s="152" t="s">
        <v>30</v>
      </c>
      <c r="G30" s="153"/>
      <c r="H30" s="153"/>
      <c r="I30" s="154"/>
      <c r="J30" s="28"/>
      <c r="R30" s="34"/>
    </row>
    <row r="31" spans="1:19" ht="39.5" customHeight="1" thickBot="1" x14ac:dyDescent="0.25">
      <c r="A31" s="29">
        <v>2</v>
      </c>
      <c r="B31" s="132" t="s">
        <v>31</v>
      </c>
      <c r="C31" s="134"/>
      <c r="D31" s="32">
        <v>0.15</v>
      </c>
      <c r="E31" s="31">
        <f t="shared" ref="E31:E36" si="3">+D31*$H$27</f>
        <v>48890965.291358314</v>
      </c>
      <c r="F31" s="130" t="s">
        <v>32</v>
      </c>
      <c r="G31" s="135"/>
      <c r="H31" s="135"/>
      <c r="I31" s="131"/>
      <c r="J31" s="26"/>
      <c r="L31" s="116" t="s">
        <v>123</v>
      </c>
      <c r="M31" s="117"/>
      <c r="N31" s="117"/>
      <c r="O31" s="117"/>
      <c r="P31" s="117"/>
      <c r="Q31" s="117"/>
      <c r="R31" s="117"/>
      <c r="S31" s="118"/>
    </row>
    <row r="32" spans="1:19" ht="55.25" customHeight="1" x14ac:dyDescent="0.2">
      <c r="A32" s="8">
        <v>3</v>
      </c>
      <c r="B32" s="132" t="s">
        <v>33</v>
      </c>
      <c r="C32" s="134"/>
      <c r="D32" s="30">
        <v>0.2</v>
      </c>
      <c r="E32" s="31">
        <f t="shared" si="3"/>
        <v>65187953.721811093</v>
      </c>
      <c r="F32" s="130" t="s">
        <v>126</v>
      </c>
      <c r="G32" s="135"/>
      <c r="H32" s="135"/>
      <c r="I32" s="131"/>
      <c r="J32" s="28"/>
      <c r="L32" s="5" t="s">
        <v>4</v>
      </c>
      <c r="M32" s="5" t="s">
        <v>5</v>
      </c>
      <c r="N32" s="5" t="s">
        <v>6</v>
      </c>
      <c r="O32" s="5" t="s">
        <v>7</v>
      </c>
      <c r="P32" s="6" t="s">
        <v>114</v>
      </c>
      <c r="Q32" s="5" t="s">
        <v>8</v>
      </c>
      <c r="R32" s="5" t="s">
        <v>9</v>
      </c>
      <c r="S32" s="6" t="s">
        <v>10</v>
      </c>
    </row>
    <row r="33" spans="1:19" ht="49.25" customHeight="1" x14ac:dyDescent="0.2">
      <c r="A33" s="8">
        <v>4</v>
      </c>
      <c r="B33" s="130" t="s">
        <v>34</v>
      </c>
      <c r="C33" s="131"/>
      <c r="D33" s="17">
        <v>0.17</v>
      </c>
      <c r="E33" s="31">
        <f t="shared" si="3"/>
        <v>55409760.663539432</v>
      </c>
      <c r="F33" s="130" t="s">
        <v>35</v>
      </c>
      <c r="G33" s="135"/>
      <c r="H33" s="135"/>
      <c r="I33" s="131"/>
      <c r="J33" s="28"/>
      <c r="L33" s="111" t="s">
        <v>11</v>
      </c>
      <c r="M33" s="111"/>
      <c r="N33" s="111"/>
      <c r="O33" s="111"/>
      <c r="P33" s="111"/>
      <c r="Q33" s="111"/>
      <c r="R33" s="111"/>
      <c r="S33" s="111"/>
    </row>
    <row r="34" spans="1:19" ht="48" x14ac:dyDescent="0.2">
      <c r="A34" s="8">
        <v>5</v>
      </c>
      <c r="B34" s="130" t="s">
        <v>36</v>
      </c>
      <c r="C34" s="131"/>
      <c r="D34" s="17">
        <v>0.17</v>
      </c>
      <c r="E34" s="31">
        <f t="shared" si="3"/>
        <v>55409760.663539432</v>
      </c>
      <c r="F34" s="130" t="s">
        <v>37</v>
      </c>
      <c r="G34" s="135"/>
      <c r="H34" s="135"/>
      <c r="I34" s="131"/>
      <c r="L34" s="8">
        <v>1</v>
      </c>
      <c r="M34" s="10" t="s">
        <v>124</v>
      </c>
      <c r="N34" s="8">
        <v>1</v>
      </c>
      <c r="O34" s="11">
        <f>+'ANEXO SALARIOS REFERENCIA'!G11</f>
        <v>7575607.9999999991</v>
      </c>
      <c r="P34" s="12">
        <f>+[2]FM!$C$42</f>
        <v>2.33</v>
      </c>
      <c r="Q34" s="13">
        <v>0.25</v>
      </c>
      <c r="R34" s="8">
        <f>+S8</f>
        <v>16</v>
      </c>
      <c r="S34" s="14">
        <f>+Q34*P34*O34*R34</f>
        <v>70604666.559999987</v>
      </c>
    </row>
    <row r="35" spans="1:19" ht="38.5" customHeight="1" x14ac:dyDescent="0.2">
      <c r="A35" s="8">
        <v>6</v>
      </c>
      <c r="B35" s="132" t="s">
        <v>38</v>
      </c>
      <c r="C35" s="134"/>
      <c r="D35" s="17">
        <v>0.15</v>
      </c>
      <c r="E35" s="31">
        <f t="shared" si="3"/>
        <v>48890965.291358314</v>
      </c>
      <c r="F35" s="130" t="s">
        <v>39</v>
      </c>
      <c r="G35" s="135"/>
      <c r="H35" s="135"/>
      <c r="I35" s="131"/>
      <c r="L35" s="107" t="s">
        <v>22</v>
      </c>
      <c r="M35" s="107"/>
      <c r="N35" s="107"/>
      <c r="O35" s="107"/>
      <c r="P35" s="107"/>
      <c r="Q35" s="107"/>
      <c r="R35" s="107"/>
      <c r="S35" s="25">
        <f>+SUM(S34:S34)</f>
        <v>70604666.559999987</v>
      </c>
    </row>
    <row r="36" spans="1:19" ht="26" customHeight="1" thickBot="1" x14ac:dyDescent="0.25">
      <c r="A36" s="8">
        <v>7</v>
      </c>
      <c r="B36" s="130" t="s">
        <v>40</v>
      </c>
      <c r="C36" s="131"/>
      <c r="D36" s="17">
        <v>0.12</v>
      </c>
      <c r="E36" s="31">
        <f t="shared" si="3"/>
        <v>39112772.233086653</v>
      </c>
      <c r="F36" s="132" t="s">
        <v>41</v>
      </c>
      <c r="G36" s="133"/>
      <c r="H36" s="133"/>
      <c r="I36" s="134"/>
      <c r="L36" s="94" t="s">
        <v>4</v>
      </c>
      <c r="M36" s="95"/>
      <c r="N36" s="95"/>
      <c r="O36" s="95"/>
      <c r="P36" s="96"/>
      <c r="Q36" s="38" t="s">
        <v>116</v>
      </c>
      <c r="R36" s="94" t="s">
        <v>118</v>
      </c>
      <c r="S36" s="96"/>
    </row>
    <row r="37" spans="1:19" ht="16" thickBot="1" x14ac:dyDescent="0.25">
      <c r="C37" s="119" t="s">
        <v>42</v>
      </c>
      <c r="D37" s="120"/>
      <c r="E37" s="33">
        <f>+SUM(E30:E36)</f>
        <v>325939768.60905546</v>
      </c>
      <c r="F37" s="121"/>
      <c r="G37" s="122"/>
      <c r="H37" s="122"/>
      <c r="I37" s="122"/>
      <c r="L37" s="94" t="s">
        <v>23</v>
      </c>
      <c r="M37" s="95"/>
      <c r="N37" s="95"/>
      <c r="O37" s="95"/>
      <c r="P37" s="96"/>
      <c r="Q37" s="74">
        <v>0.19</v>
      </c>
      <c r="R37" s="145">
        <f>+S35*Q37</f>
        <v>13414886.646399997</v>
      </c>
      <c r="S37" s="146"/>
    </row>
    <row r="38" spans="1:19" ht="16" thickBot="1" x14ac:dyDescent="0.25">
      <c r="L38" s="147" t="s">
        <v>121</v>
      </c>
      <c r="M38" s="148"/>
      <c r="N38" s="148"/>
      <c r="O38" s="148"/>
      <c r="P38" s="149"/>
      <c r="Q38" s="75">
        <v>4.0000000000000001E-3</v>
      </c>
      <c r="R38" s="150">
        <f>+S35*Q38</f>
        <v>282418.66623999993</v>
      </c>
      <c r="S38" s="151"/>
    </row>
    <row r="39" spans="1:19" ht="16" thickBot="1" x14ac:dyDescent="0.25">
      <c r="L39" s="104" t="s">
        <v>122</v>
      </c>
      <c r="M39" s="105"/>
      <c r="N39" s="105"/>
      <c r="O39" s="105"/>
      <c r="P39" s="105"/>
      <c r="Q39" s="106"/>
      <c r="R39" s="98">
        <f>+S35+R37+R38</f>
        <v>84301971.872639984</v>
      </c>
      <c r="S39" s="99"/>
    </row>
    <row r="40" spans="1:19" ht="33" customHeight="1" x14ac:dyDescent="0.2"/>
  </sheetData>
  <mergeCells count="66">
    <mergeCell ref="R37:S37"/>
    <mergeCell ref="L39:Q39"/>
    <mergeCell ref="R39:S39"/>
    <mergeCell ref="B6:C6"/>
    <mergeCell ref="L38:P38"/>
    <mergeCell ref="R38:S38"/>
    <mergeCell ref="L31:S31"/>
    <mergeCell ref="L33:S33"/>
    <mergeCell ref="L35:R35"/>
    <mergeCell ref="L37:P37"/>
    <mergeCell ref="B31:C31"/>
    <mergeCell ref="F30:I30"/>
    <mergeCell ref="B30:C30"/>
    <mergeCell ref="B22:I22"/>
    <mergeCell ref="B23:F23"/>
    <mergeCell ref="B26:F26"/>
    <mergeCell ref="B2:D2"/>
    <mergeCell ref="B35:C35"/>
    <mergeCell ref="F35:I35"/>
    <mergeCell ref="B32:C32"/>
    <mergeCell ref="F32:I32"/>
    <mergeCell ref="B33:C33"/>
    <mergeCell ref="F33:I33"/>
    <mergeCell ref="B34:C34"/>
    <mergeCell ref="F34:I34"/>
    <mergeCell ref="B21:H21"/>
    <mergeCell ref="B25:F25"/>
    <mergeCell ref="H25:I25"/>
    <mergeCell ref="H26:I26"/>
    <mergeCell ref="B4:C4"/>
    <mergeCell ref="B5:C5"/>
    <mergeCell ref="B3:C3"/>
    <mergeCell ref="C37:D37"/>
    <mergeCell ref="F37:I37"/>
    <mergeCell ref="F9:H9"/>
    <mergeCell ref="H27:I27"/>
    <mergeCell ref="B27:G27"/>
    <mergeCell ref="B24:G24"/>
    <mergeCell ref="B36:C36"/>
    <mergeCell ref="F36:I36"/>
    <mergeCell ref="F31:I31"/>
    <mergeCell ref="F29:I29"/>
    <mergeCell ref="L23:P23"/>
    <mergeCell ref="B13:I13"/>
    <mergeCell ref="L13:S13"/>
    <mergeCell ref="P8:R8"/>
    <mergeCell ref="P9:R9"/>
    <mergeCell ref="B11:I11"/>
    <mergeCell ref="B29:C29"/>
    <mergeCell ref="L11:S11"/>
    <mergeCell ref="H24:I24"/>
    <mergeCell ref="L25:P25"/>
    <mergeCell ref="L28:P28"/>
    <mergeCell ref="R28:S28"/>
    <mergeCell ref="B7:C7"/>
    <mergeCell ref="L26:Q26"/>
    <mergeCell ref="L21:R21"/>
    <mergeCell ref="L27:P27"/>
    <mergeCell ref="R27:S27"/>
    <mergeCell ref="L22:S22"/>
    <mergeCell ref="L36:P36"/>
    <mergeCell ref="R36:S36"/>
    <mergeCell ref="L24:P24"/>
    <mergeCell ref="R29:S29"/>
    <mergeCell ref="R26:S26"/>
    <mergeCell ref="L29:Q29"/>
  </mergeCells>
  <pageMargins left="0.7" right="0.7" top="0.75" bottom="0.75" header="0.3" footer="0.3"/>
  <pageSetup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162E-8ABC-48F4-B328-467AFDF331AA}">
  <dimension ref="A1:C42"/>
  <sheetViews>
    <sheetView workbookViewId="0">
      <selection activeCell="E13" sqref="E13"/>
    </sheetView>
  </sheetViews>
  <sheetFormatPr baseColWidth="10" defaultColWidth="11.33203125" defaultRowHeight="15" x14ac:dyDescent="0.2"/>
  <cols>
    <col min="1" max="1" width="11.33203125" style="42"/>
    <col min="2" max="2" width="67.1640625" style="42" customWidth="1"/>
    <col min="3" max="3" width="11.33203125" style="42"/>
    <col min="4" max="4" width="14.1640625" style="42" customWidth="1"/>
    <col min="5" max="16384" width="11.33203125" style="42"/>
  </cols>
  <sheetData>
    <row r="1" spans="1:3" ht="22" x14ac:dyDescent="0.2">
      <c r="A1" s="39"/>
      <c r="B1" s="40" t="s">
        <v>48</v>
      </c>
      <c r="C1" s="41"/>
    </row>
    <row r="2" spans="1:3" x14ac:dyDescent="0.2">
      <c r="A2" s="43"/>
      <c r="B2" s="44"/>
      <c r="C2" s="45"/>
    </row>
    <row r="3" spans="1:3" ht="16" x14ac:dyDescent="0.2">
      <c r="A3" s="46">
        <v>1</v>
      </c>
      <c r="B3" s="47" t="s">
        <v>49</v>
      </c>
      <c r="C3" s="48">
        <f>+ROUND((100%),2)</f>
        <v>1</v>
      </c>
    </row>
    <row r="4" spans="1:3" ht="16" x14ac:dyDescent="0.2">
      <c r="A4" s="46">
        <v>2</v>
      </c>
      <c r="B4" s="47" t="s">
        <v>50</v>
      </c>
      <c r="C4" s="49"/>
    </row>
    <row r="5" spans="1:3" x14ac:dyDescent="0.2">
      <c r="A5" s="50" t="s">
        <v>51</v>
      </c>
      <c r="B5" s="51" t="s">
        <v>52</v>
      </c>
      <c r="C5" s="52">
        <v>8.5000000000000006E-2</v>
      </c>
    </row>
    <row r="6" spans="1:3" x14ac:dyDescent="0.2">
      <c r="A6" s="50" t="s">
        <v>53</v>
      </c>
      <c r="B6" s="51" t="s">
        <v>54</v>
      </c>
      <c r="C6" s="52">
        <v>8.3299999999999999E-2</v>
      </c>
    </row>
    <row r="7" spans="1:3" x14ac:dyDescent="0.2">
      <c r="A7" s="50" t="s">
        <v>55</v>
      </c>
      <c r="B7" s="51" t="s">
        <v>56</v>
      </c>
      <c r="C7" s="52">
        <v>0.01</v>
      </c>
    </row>
    <row r="8" spans="1:3" x14ac:dyDescent="0.2">
      <c r="A8" s="50" t="s">
        <v>57</v>
      </c>
      <c r="B8" s="51" t="s">
        <v>58</v>
      </c>
      <c r="C8" s="52">
        <v>0.08</v>
      </c>
    </row>
    <row r="9" spans="1:3" x14ac:dyDescent="0.2">
      <c r="A9" s="50" t="s">
        <v>59</v>
      </c>
      <c r="B9" s="51" t="s">
        <v>60</v>
      </c>
      <c r="C9" s="52">
        <v>0.11600000000000001</v>
      </c>
    </row>
    <row r="10" spans="1:3" x14ac:dyDescent="0.2">
      <c r="A10" s="50" t="s">
        <v>61</v>
      </c>
      <c r="B10" s="51" t="s">
        <v>62</v>
      </c>
      <c r="C10" s="52">
        <f>2%</f>
        <v>0.02</v>
      </c>
    </row>
    <row r="11" spans="1:3" x14ac:dyDescent="0.2">
      <c r="A11" s="50" t="s">
        <v>63</v>
      </c>
      <c r="B11" s="51" t="s">
        <v>64</v>
      </c>
      <c r="C11" s="52">
        <f>3%</f>
        <v>0.03</v>
      </c>
    </row>
    <row r="12" spans="1:3" x14ac:dyDescent="0.2">
      <c r="A12" s="50" t="s">
        <v>65</v>
      </c>
      <c r="B12" s="51" t="s">
        <v>66</v>
      </c>
      <c r="C12" s="52">
        <f>4%</f>
        <v>0.04</v>
      </c>
    </row>
    <row r="13" spans="1:3" x14ac:dyDescent="0.2">
      <c r="A13" s="50" t="s">
        <v>67</v>
      </c>
      <c r="B13" s="51" t="s">
        <v>68</v>
      </c>
      <c r="C13" s="52">
        <v>4.1700000000000001E-2</v>
      </c>
    </row>
    <row r="14" spans="1:3" x14ac:dyDescent="0.2">
      <c r="A14" s="50" t="s">
        <v>69</v>
      </c>
      <c r="B14" s="51" t="s">
        <v>70</v>
      </c>
      <c r="C14" s="52">
        <v>0.02</v>
      </c>
    </row>
    <row r="15" spans="1:3" x14ac:dyDescent="0.2">
      <c r="A15" s="50" t="s">
        <v>71</v>
      </c>
      <c r="B15" s="51" t="s">
        <v>72</v>
      </c>
      <c r="C15" s="52">
        <v>0.04</v>
      </c>
    </row>
    <row r="16" spans="1:3" x14ac:dyDescent="0.2">
      <c r="A16" s="50" t="s">
        <v>73</v>
      </c>
      <c r="B16" s="51" t="s">
        <v>74</v>
      </c>
      <c r="C16" s="52">
        <v>0.01</v>
      </c>
    </row>
    <row r="17" spans="1:3" x14ac:dyDescent="0.2">
      <c r="A17" s="50" t="s">
        <v>75</v>
      </c>
      <c r="B17" s="51" t="s">
        <v>76</v>
      </c>
      <c r="C17" s="52">
        <v>0.01</v>
      </c>
    </row>
    <row r="18" spans="1:3" x14ac:dyDescent="0.2">
      <c r="A18" s="50" t="s">
        <v>77</v>
      </c>
      <c r="B18" s="51" t="s">
        <v>78</v>
      </c>
      <c r="C18" s="52">
        <v>0.01</v>
      </c>
    </row>
    <row r="19" spans="1:3" x14ac:dyDescent="0.2">
      <c r="A19" s="53" t="s">
        <v>79</v>
      </c>
      <c r="B19" s="51" t="s">
        <v>80</v>
      </c>
      <c r="C19" s="52">
        <v>0.02</v>
      </c>
    </row>
    <row r="20" spans="1:3" x14ac:dyDescent="0.2">
      <c r="A20" s="54"/>
      <c r="B20" s="55" t="s">
        <v>81</v>
      </c>
      <c r="C20" s="48">
        <f>ROUND((SUM(C5:C19)),3)</f>
        <v>0.61599999999999999</v>
      </c>
    </row>
    <row r="21" spans="1:3" ht="16" x14ac:dyDescent="0.2">
      <c r="A21" s="56">
        <v>3</v>
      </c>
      <c r="B21" s="57" t="s">
        <v>82</v>
      </c>
      <c r="C21" s="49"/>
    </row>
    <row r="22" spans="1:3" x14ac:dyDescent="0.2">
      <c r="A22" s="58"/>
      <c r="B22" s="59" t="s">
        <v>83</v>
      </c>
      <c r="C22" s="60"/>
    </row>
    <row r="23" spans="1:3" x14ac:dyDescent="0.2">
      <c r="A23" s="50" t="s">
        <v>84</v>
      </c>
      <c r="B23" s="51" t="s">
        <v>85</v>
      </c>
      <c r="C23" s="52">
        <v>0.05</v>
      </c>
    </row>
    <row r="24" spans="1:3" x14ac:dyDescent="0.2">
      <c r="A24" s="50" t="s">
        <v>86</v>
      </c>
      <c r="B24" s="51" t="s">
        <v>87</v>
      </c>
      <c r="C24" s="52">
        <v>0.03</v>
      </c>
    </row>
    <row r="25" spans="1:3" x14ac:dyDescent="0.2">
      <c r="A25" s="50" t="s">
        <v>88</v>
      </c>
      <c r="B25" s="51" t="s">
        <v>89</v>
      </c>
      <c r="C25" s="52">
        <v>0.02</v>
      </c>
    </row>
    <row r="26" spans="1:3" x14ac:dyDescent="0.2">
      <c r="A26" s="50" t="s">
        <v>90</v>
      </c>
      <c r="B26" s="51" t="s">
        <v>91</v>
      </c>
      <c r="C26" s="52">
        <v>0.02</v>
      </c>
    </row>
    <row r="27" spans="1:3" x14ac:dyDescent="0.2">
      <c r="A27" s="50" t="s">
        <v>92</v>
      </c>
      <c r="B27" s="51" t="s">
        <v>93</v>
      </c>
      <c r="C27" s="52">
        <v>0.01</v>
      </c>
    </row>
    <row r="28" spans="1:3" x14ac:dyDescent="0.2">
      <c r="A28" s="50" t="s">
        <v>94</v>
      </c>
      <c r="B28" s="51" t="s">
        <v>95</v>
      </c>
      <c r="C28" s="52">
        <v>0.04</v>
      </c>
    </row>
    <row r="29" spans="1:3" x14ac:dyDescent="0.2">
      <c r="A29" s="50" t="s">
        <v>96</v>
      </c>
      <c r="B29" s="51" t="s">
        <v>97</v>
      </c>
      <c r="C29" s="52">
        <v>0.03</v>
      </c>
    </row>
    <row r="30" spans="1:3" x14ac:dyDescent="0.2">
      <c r="A30" s="50" t="s">
        <v>98</v>
      </c>
      <c r="B30" s="51" t="s">
        <v>99</v>
      </c>
      <c r="C30" s="52">
        <v>0.02</v>
      </c>
    </row>
    <row r="31" spans="1:3" x14ac:dyDescent="0.2">
      <c r="A31" s="50" t="s">
        <v>100</v>
      </c>
      <c r="B31" s="51" t="s">
        <v>101</v>
      </c>
      <c r="C31" s="52">
        <v>1.4999999999999999E-2</v>
      </c>
    </row>
    <row r="32" spans="1:3" x14ac:dyDescent="0.2">
      <c r="A32" s="50" t="s">
        <v>102</v>
      </c>
      <c r="B32" s="51" t="s">
        <v>103</v>
      </c>
      <c r="C32" s="52">
        <v>0.02</v>
      </c>
    </row>
    <row r="33" spans="1:3" x14ac:dyDescent="0.2">
      <c r="A33" s="50" t="s">
        <v>104</v>
      </c>
      <c r="B33" s="61" t="s">
        <v>105</v>
      </c>
      <c r="C33" s="62">
        <v>0.02</v>
      </c>
    </row>
    <row r="34" spans="1:3" x14ac:dyDescent="0.2">
      <c r="A34" s="63"/>
      <c r="B34" s="64" t="s">
        <v>106</v>
      </c>
      <c r="C34" s="49"/>
    </row>
    <row r="35" spans="1:3" x14ac:dyDescent="0.2">
      <c r="A35" s="50">
        <v>3.12</v>
      </c>
      <c r="B35" s="51" t="s">
        <v>107</v>
      </c>
      <c r="C35" s="52">
        <v>0.02</v>
      </c>
    </row>
    <row r="36" spans="1:3" x14ac:dyDescent="0.2">
      <c r="A36" s="50">
        <v>3.13</v>
      </c>
      <c r="B36" s="51" t="s">
        <v>108</v>
      </c>
      <c r="C36" s="52">
        <v>0.01</v>
      </c>
    </row>
    <row r="37" spans="1:3" x14ac:dyDescent="0.2">
      <c r="A37" s="53">
        <v>3.14</v>
      </c>
      <c r="B37" s="61" t="s">
        <v>109</v>
      </c>
      <c r="C37" s="62">
        <v>0.01</v>
      </c>
    </row>
    <row r="38" spans="1:3" x14ac:dyDescent="0.2">
      <c r="A38" s="65"/>
      <c r="B38" s="55" t="s">
        <v>110</v>
      </c>
      <c r="C38" s="48">
        <f>ROUND((SUM(C23:C37)),3)</f>
        <v>0.315</v>
      </c>
    </row>
    <row r="39" spans="1:3" ht="16" x14ac:dyDescent="0.2">
      <c r="A39" s="46">
        <v>4</v>
      </c>
      <c r="B39" s="57" t="s">
        <v>111</v>
      </c>
      <c r="C39" s="66">
        <v>0.4</v>
      </c>
    </row>
    <row r="40" spans="1:3" x14ac:dyDescent="0.2">
      <c r="A40" s="65"/>
      <c r="B40" s="55" t="s">
        <v>112</v>
      </c>
      <c r="C40" s="48">
        <f>ROUND((SUM(C39)),3)</f>
        <v>0.4</v>
      </c>
    </row>
    <row r="41" spans="1:3" x14ac:dyDescent="0.2">
      <c r="A41" s="43"/>
      <c r="B41" s="44"/>
      <c r="C41" s="45"/>
    </row>
    <row r="42" spans="1:3" ht="19" x14ac:dyDescent="0.2">
      <c r="A42" s="67">
        <v>5</v>
      </c>
      <c r="B42" s="68" t="s">
        <v>113</v>
      </c>
      <c r="C42" s="69">
        <f>ROUND((C3+C20+C38+C40),2)</f>
        <v>2.33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4884-D896-486F-953F-B40D46CF0A99}">
  <sheetPr>
    <pageSetUpPr fitToPage="1"/>
  </sheetPr>
  <dimension ref="B4:M33"/>
  <sheetViews>
    <sheetView topLeftCell="B13" zoomScale="88" workbookViewId="0">
      <selection activeCell="F28" sqref="F28"/>
    </sheetView>
  </sheetViews>
  <sheetFormatPr baseColWidth="10" defaultRowHeight="15" x14ac:dyDescent="0.2"/>
  <cols>
    <col min="2" max="2" width="56.6640625" customWidth="1"/>
    <col min="3" max="3" width="5.6640625" customWidth="1"/>
    <col min="4" max="4" width="37.6640625" customWidth="1"/>
    <col min="5" max="5" width="15.1640625" bestFit="1" customWidth="1"/>
    <col min="6" max="10" width="14.1640625" bestFit="1" customWidth="1"/>
    <col min="12" max="12" width="15.6640625" bestFit="1" customWidth="1"/>
  </cols>
  <sheetData>
    <row r="4" spans="2:13" x14ac:dyDescent="0.2">
      <c r="B4" s="81">
        <f>'[1]Anexo Salarios Referencia'!A19</f>
        <v>0</v>
      </c>
      <c r="C4" s="81">
        <f>'[1]Anexo Salarios Referencia'!B19</f>
        <v>0</v>
      </c>
      <c r="D4" s="81" t="str">
        <f>'[1]Anexo Salarios Referencia'!C19</f>
        <v>Factor prestacional</v>
      </c>
      <c r="E4" s="81">
        <f>'[1]Anexo Salarios Referencia'!D19</f>
        <v>1.45</v>
      </c>
      <c r="F4" s="81" t="str">
        <f>'[1]Anexo Salarios Referencia'!E19</f>
        <v>Por Salarios</v>
      </c>
      <c r="G4" s="81">
        <f>'[1]Anexo Salarios Referencia'!F19</f>
        <v>0</v>
      </c>
      <c r="H4" s="81">
        <f>'[1]Anexo Salarios Referencia'!G19</f>
        <v>0</v>
      </c>
      <c r="I4" s="81">
        <f>'[1]Anexo Salarios Referencia'!H19</f>
        <v>0</v>
      </c>
      <c r="J4" s="81">
        <f>'[1]Anexo Salarios Referencia'!I19</f>
        <v>0</v>
      </c>
      <c r="L4" t="s">
        <v>129</v>
      </c>
      <c r="M4" s="80">
        <v>5.0999999999999997E-2</v>
      </c>
    </row>
    <row r="5" spans="2:13" x14ac:dyDescent="0.2">
      <c r="B5" s="81">
        <f>'[1]Anexo Salarios Referencia'!A20</f>
        <v>0</v>
      </c>
      <c r="C5" s="81">
        <f>'[1]Anexo Salarios Referencia'!B20</f>
        <v>0</v>
      </c>
      <c r="D5" s="81">
        <f>'[1]Anexo Salarios Referencia'!C20</f>
        <v>0</v>
      </c>
      <c r="E5" s="81" t="str">
        <f>'[1]Anexo Salarios Referencia'!D20</f>
        <v>Categoria 1 y 2</v>
      </c>
      <c r="F5" s="81" t="str">
        <f>'[1]Anexo Salarios Referencia'!E20</f>
        <v>Categoria 3</v>
      </c>
      <c r="G5" s="81" t="str">
        <f>'[1]Anexo Salarios Referencia'!F20</f>
        <v>Categoria 4</v>
      </c>
      <c r="H5" s="81" t="str">
        <f>'[1]Anexo Salarios Referencia'!G20</f>
        <v>Categoria 5</v>
      </c>
      <c r="I5" s="81" t="str">
        <f>'[1]Anexo Salarios Referencia'!H20</f>
        <v>Categoria 6</v>
      </c>
      <c r="J5" s="81" t="str">
        <f>'[1]Anexo Salarios Referencia'!I20</f>
        <v>Categoria 7</v>
      </c>
    </row>
    <row r="6" spans="2:13" ht="16" x14ac:dyDescent="0.2">
      <c r="B6" s="81" t="str">
        <f>'[1]Anexo Salarios Referencia'!A21</f>
        <v>Nivel de responsabilidad en un Proyecto de Obra</v>
      </c>
      <c r="C6" s="81">
        <f>'[1]Anexo Salarios Referencia'!B21</f>
        <v>0</v>
      </c>
      <c r="D6" s="82" t="s">
        <v>127</v>
      </c>
      <c r="E6" s="81" t="str">
        <f>'[1]Anexo Salarios Referencia'!D21</f>
        <v>&gt;= 10  &gt; 12 años</v>
      </c>
      <c r="F6" s="81" t="str">
        <f>'[1]Anexo Salarios Referencia'!E21</f>
        <v>&gt;= 8  Años</v>
      </c>
      <c r="G6" s="81" t="str">
        <f>'[1]Anexo Salarios Referencia'!F21</f>
        <v>&gt;= 6  Años</v>
      </c>
      <c r="H6" s="81" t="str">
        <f>'[1]Anexo Salarios Referencia'!G21</f>
        <v>&gt;= 4  Años</v>
      </c>
      <c r="I6" s="81" t="str">
        <f>'[1]Anexo Salarios Referencia'!H21</f>
        <v>&gt;= 2  años</v>
      </c>
      <c r="J6" s="81" t="str">
        <f>'[1]Anexo Salarios Referencia'!I21</f>
        <v>&gt; 0 &lt; 2 años</v>
      </c>
    </row>
    <row r="7" spans="2:13" x14ac:dyDescent="0.2">
      <c r="B7" s="81">
        <f>'[1]Anexo Salarios Referencia'!A22</f>
        <v>0</v>
      </c>
      <c r="C7" s="81">
        <f>'[1]Anexo Salarios Referencia'!B22</f>
        <v>0</v>
      </c>
      <c r="D7" s="81">
        <f>'[1]Anexo Salarios Referencia'!C22</f>
        <v>0</v>
      </c>
      <c r="E7" s="81">
        <f>'[1]Anexo Salarios Referencia'!D22</f>
        <v>0</v>
      </c>
      <c r="F7" s="81">
        <f>'[1]Anexo Salarios Referencia'!E22</f>
        <v>0</v>
      </c>
      <c r="G7" s="81">
        <f>'[1]Anexo Salarios Referencia'!F22</f>
        <v>0</v>
      </c>
      <c r="H7" s="81">
        <f>'[1]Anexo Salarios Referencia'!G22</f>
        <v>0</v>
      </c>
      <c r="I7" s="81">
        <f>'[1]Anexo Salarios Referencia'!H22</f>
        <v>0</v>
      </c>
      <c r="J7" s="81">
        <f>'[1]Anexo Salarios Referencia'!I22</f>
        <v>0</v>
      </c>
    </row>
    <row r="8" spans="2:13" x14ac:dyDescent="0.2">
      <c r="B8" s="81">
        <f>'[1]Anexo Salarios Referencia'!A23</f>
        <v>0</v>
      </c>
      <c r="C8" s="81">
        <f>'[1]Anexo Salarios Referencia'!B23</f>
        <v>0</v>
      </c>
      <c r="D8" s="81">
        <f>'[1]Anexo Salarios Referencia'!C23</f>
        <v>0</v>
      </c>
      <c r="E8" s="81">
        <f>'[1]Anexo Salarios Referencia'!D23</f>
        <v>0</v>
      </c>
      <c r="F8" s="81">
        <f>'[1]Anexo Salarios Referencia'!E23</f>
        <v>0</v>
      </c>
      <c r="G8" s="81">
        <f>'[1]Anexo Salarios Referencia'!F23</f>
        <v>0</v>
      </c>
      <c r="H8" s="81">
        <f>'[1]Anexo Salarios Referencia'!G23</f>
        <v>0</v>
      </c>
      <c r="I8" s="81">
        <f>'[1]Anexo Salarios Referencia'!H23</f>
        <v>0</v>
      </c>
      <c r="J8" s="81">
        <f>'[1]Anexo Salarios Referencia'!I23</f>
        <v>0</v>
      </c>
    </row>
    <row r="9" spans="2:13" ht="32" x14ac:dyDescent="0.2">
      <c r="B9" s="83" t="str">
        <f>'[1]Anexo Salarios Referencia'!A24</f>
        <v>Totalmente responsable, tanto administrativa como técnicamente del proyecto. Establece las políticas y los controles financieros</v>
      </c>
      <c r="C9" s="81" t="str">
        <f>'[1]Anexo Salarios Referencia'!B24</f>
        <v>A</v>
      </c>
      <c r="D9" s="81" t="str">
        <f>'[1]Anexo Salarios Referencia'!C24</f>
        <v>Profesional Especialista Coordinador (A)</v>
      </c>
      <c r="E9" s="84">
        <f>'[1]Anexo Salarios Referencia'!D24*(1+$M$4)</f>
        <v>10026540</v>
      </c>
      <c r="F9" s="84">
        <f>'[1]Anexo Salarios Referencia'!E24*(1+$M$4)</f>
        <v>0</v>
      </c>
      <c r="G9" s="84">
        <f>'[1]Anexo Salarios Referencia'!F24*(1+$M$4)</f>
        <v>0</v>
      </c>
      <c r="H9" s="84">
        <f>'[1]Anexo Salarios Referencia'!G24*(1+$M$4)</f>
        <v>0</v>
      </c>
      <c r="I9" s="84">
        <f>'[1]Anexo Salarios Referencia'!H24*(1+$M$4)</f>
        <v>0</v>
      </c>
      <c r="J9" s="84">
        <f>'[1]Anexo Salarios Referencia'!I24*(1+$M$4)</f>
        <v>0</v>
      </c>
    </row>
    <row r="10" spans="2:13" ht="16" x14ac:dyDescent="0.2">
      <c r="B10" s="83" t="str">
        <f>'[1]Anexo Salarios Referencia'!A25</f>
        <v>Responsable de tomar decisiones administrativas y técnicas.</v>
      </c>
      <c r="C10" s="81" t="str">
        <f>'[1]Anexo Salarios Referencia'!B25</f>
        <v>B</v>
      </c>
      <c r="D10" s="81" t="str">
        <f>'[1]Anexo Salarios Referencia'!C25</f>
        <v>Profesional Especialista Director (B)</v>
      </c>
      <c r="E10" s="84">
        <f>'[1]Anexo Salarios Referencia'!D25*(1+$M$4)</f>
        <v>9190995</v>
      </c>
      <c r="F10" s="84">
        <f>'[1]Anexo Salarios Referencia'!E25*(1+$M$4)</f>
        <v>8355449.9999999991</v>
      </c>
      <c r="G10" s="84">
        <f>'[1]Anexo Salarios Referencia'!F25*(1+$M$4)</f>
        <v>0</v>
      </c>
      <c r="H10" s="84">
        <f>'[1]Anexo Salarios Referencia'!G25*(1+$M$4)</f>
        <v>0</v>
      </c>
      <c r="I10" s="84">
        <f>'[1]Anexo Salarios Referencia'!H25*(1+$M$4)</f>
        <v>0</v>
      </c>
      <c r="J10" s="84">
        <f>'[1]Anexo Salarios Referencia'!I25*(1+$M$4)</f>
        <v>0</v>
      </c>
    </row>
    <row r="11" spans="2:13" ht="32" x14ac:dyDescent="0.2">
      <c r="B11" s="83" t="str">
        <f>'[1]Anexo Salarios Referencia'!A26</f>
        <v>Responsable de tomar decisiones administrativas y técnicas con reporte a una instancia superior.</v>
      </c>
      <c r="C11" s="81" t="str">
        <f>'[1]Anexo Salarios Referencia'!B26</f>
        <v>C</v>
      </c>
      <c r="D11" s="81" t="str">
        <f>'[1]Anexo Salarios Referencia'!C26</f>
        <v>Profesional Posgrado Residente (C)</v>
      </c>
      <c r="E11" s="84">
        <f>'[1]Anexo Salarios Referencia'!D26*(1+$M$4)</f>
        <v>9166485.6800000016</v>
      </c>
      <c r="F11" s="84">
        <f>'[1]Anexo Salarios Referencia'!E26*(1+$M$4)</f>
        <v>8333168.8000000007</v>
      </c>
      <c r="G11" s="84">
        <f>'[1]Anexo Salarios Referencia'!F26*(1+$M$4)</f>
        <v>7575607.9999999991</v>
      </c>
      <c r="H11" s="84">
        <f>'[1]Anexo Salarios Referencia'!G26*(1+$M$4)</f>
        <v>0</v>
      </c>
      <c r="I11" s="84">
        <f>'[1]Anexo Salarios Referencia'!H26*(1+$M$4)</f>
        <v>0</v>
      </c>
      <c r="J11" s="84">
        <f>'[1]Anexo Salarios Referencia'!I26*(1+$M$4)</f>
        <v>0</v>
      </c>
    </row>
    <row r="12" spans="2:13" ht="32" x14ac:dyDescent="0.2">
      <c r="B12" s="83" t="str">
        <f>'[1]Anexo Salarios Referencia'!A27</f>
        <v>Responsable de tomar decisiones técnicas con reporte a una instancia superior.</v>
      </c>
      <c r="C12" s="81" t="str">
        <f>'[1]Anexo Salarios Referencia'!B27</f>
        <v>D</v>
      </c>
      <c r="D12" s="81" t="str">
        <f>'[1]Anexo Salarios Referencia'!C27</f>
        <v>Profesional Pregrado Residente (D)</v>
      </c>
      <c r="E12" s="84">
        <f>'[1]Anexo Salarios Referencia'!D27*(1+$M$4)</f>
        <v>0</v>
      </c>
      <c r="F12" s="84">
        <f>'[1]Anexo Salarios Referencia'!E27*(1+$M$4)</f>
        <v>7144466.7800000012</v>
      </c>
      <c r="G12" s="84">
        <f>'[1]Anexo Salarios Referencia'!F27*(1+$M$4)</f>
        <v>6494969.8000000007</v>
      </c>
      <c r="H12" s="84">
        <f>'[1]Anexo Salarios Referencia'!G27*(1+$M$4)</f>
        <v>5904518</v>
      </c>
      <c r="I12" s="84">
        <f>'[1]Anexo Salarios Referencia'!H27*(1+$M$4)</f>
        <v>0</v>
      </c>
      <c r="J12" s="84">
        <f>'[1]Anexo Salarios Referencia'!I27*(1+$M$4)</f>
        <v>0</v>
      </c>
    </row>
    <row r="13" spans="2:13" ht="32" x14ac:dyDescent="0.2">
      <c r="B13" s="83" t="str">
        <f>'[1]Anexo Salarios Referencia'!A28</f>
        <v>Asesora, elabora estudios independientes, realiza análisis, interpreta y concluye, con verificación de un director</v>
      </c>
      <c r="C13" s="81" t="str">
        <f>'[1]Anexo Salarios Referencia'!B28</f>
        <v>E</v>
      </c>
      <c r="D13" s="81" t="str">
        <f>'[1]Anexo Salarios Referencia'!C28</f>
        <v>Tecnólogo (E)</v>
      </c>
      <c r="E13" s="84">
        <f>'[1]Anexo Salarios Referencia'!D28*(1+$M$4)</f>
        <v>0</v>
      </c>
      <c r="F13" s="84">
        <f>'[1]Anexo Salarios Referencia'!E28*(1+$M$4)</f>
        <v>0</v>
      </c>
      <c r="G13" s="84">
        <f>'[1]Anexo Salarios Referencia'!F28*(1+$M$4)</f>
        <v>4313640.32</v>
      </c>
      <c r="H13" s="84">
        <f>'[1]Anexo Salarios Referencia'!G28*(1+$M$4)</f>
        <v>3921491.2</v>
      </c>
      <c r="I13" s="84">
        <f>'[1]Anexo Salarios Referencia'!H28*(1+$M$4)</f>
        <v>3564992</v>
      </c>
      <c r="J13" s="84">
        <f>'[1]Anexo Salarios Referencia'!I28*(1+$M$4)</f>
        <v>0</v>
      </c>
    </row>
    <row r="14" spans="2:13" ht="16" x14ac:dyDescent="0.2">
      <c r="B14" s="83" t="str">
        <f>'[1]Anexo Salarios Referencia'!A29</f>
        <v>La toma de decisiones están fijadas por medio de guías.</v>
      </c>
      <c r="C14" s="81" t="str">
        <f>'[1]Anexo Salarios Referencia'!B29</f>
        <v>F</v>
      </c>
      <c r="D14" s="81" t="str">
        <f>'[1]Anexo Salarios Referencia'!C29</f>
        <v>Técnico (F)</v>
      </c>
      <c r="E14" s="84">
        <f>'[1]Anexo Salarios Referencia'!D29*(1+$M$4)</f>
        <v>0</v>
      </c>
      <c r="F14" s="84">
        <f>'[1]Anexo Salarios Referencia'!E29*(1+$M$4)</f>
        <v>0</v>
      </c>
      <c r="G14" s="84">
        <f>'[1]Anexo Salarios Referencia'!F29*(1+$M$4)</f>
        <v>0</v>
      </c>
      <c r="H14" s="84">
        <f>'[1]Anexo Salarios Referencia'!G29*(1+$M$4)</f>
        <v>3504832.7600000007</v>
      </c>
      <c r="I14" s="84">
        <f>'[1]Anexo Salarios Referencia'!H29*(1+$M$4)</f>
        <v>3186211.6</v>
      </c>
      <c r="J14" s="84">
        <f>'[1]Anexo Salarios Referencia'!I29*(1+$M$4)</f>
        <v>2896556</v>
      </c>
    </row>
    <row r="15" spans="2:13" ht="16" x14ac:dyDescent="0.2">
      <c r="B15" s="83" t="str">
        <f>'[1]Anexo Salarios Referencia'!A30</f>
        <v>Decisiones rutinarias y están previstas en manuales de procedimientos</v>
      </c>
      <c r="C15" s="81" t="str">
        <f>'[1]Anexo Salarios Referencia'!B30</f>
        <v>G</v>
      </c>
      <c r="D15" s="81" t="str">
        <f>'[1]Anexo Salarios Referencia'!C30</f>
        <v>Técnico (G)</v>
      </c>
      <c r="E15" s="84">
        <f>'[1]Anexo Salarios Referencia'!D30*(1+$M$4)</f>
        <v>0</v>
      </c>
      <c r="F15" s="84">
        <f>'[1]Anexo Salarios Referencia'!E30*(1+$M$4)</f>
        <v>0</v>
      </c>
      <c r="G15" s="84">
        <f>'[1]Anexo Salarios Referencia'!F30*(1+$M$4)</f>
        <v>0</v>
      </c>
      <c r="H15" s="84">
        <f>'[1]Anexo Salarios Referencia'!G30*(1+$M$4)</f>
        <v>0</v>
      </c>
      <c r="I15" s="84">
        <f>'[1]Anexo Salarios Referencia'!H30*(1+$M$4)</f>
        <v>1911726.9600000002</v>
      </c>
      <c r="J15" s="84">
        <f>'[1]Anexo Salarios Referencia'!I30*(1+$M$4)</f>
        <v>1737933.5999999999</v>
      </c>
    </row>
    <row r="16" spans="2:13" ht="16" x14ac:dyDescent="0.2">
      <c r="B16" s="83" t="str">
        <f>'[1]Anexo Salarios Referencia'!A31</f>
        <v>Apoyan en campos específicos.</v>
      </c>
      <c r="C16" s="81" t="str">
        <f>'[1]Anexo Salarios Referencia'!B31</f>
        <v>H</v>
      </c>
      <c r="D16" s="81" t="str">
        <f>'[1]Anexo Salarios Referencia'!C31</f>
        <v>Auxiliar (H)</v>
      </c>
      <c r="E16" s="84">
        <f>'[1]Anexo Salarios Referencia'!D31*(1+$M$4)</f>
        <v>0</v>
      </c>
      <c r="F16" s="84">
        <f>'[1]Anexo Salarios Referencia'!E31*(1+$M$4)</f>
        <v>0</v>
      </c>
      <c r="G16" s="84">
        <f>'[1]Anexo Salarios Referencia'!F31*(1+$M$4)</f>
        <v>0</v>
      </c>
      <c r="H16" s="84">
        <f>'[1]Anexo Salarios Referencia'!G31*(1+$M$4)</f>
        <v>0</v>
      </c>
      <c r="I16" s="84">
        <f>'[1]Anexo Salarios Referencia'!H31*(1+$M$4)</f>
        <v>0</v>
      </c>
      <c r="J16" s="84">
        <f>'[1]Anexo Salarios Referencia'!I31*(1+$M$4)</f>
        <v>1496098.5</v>
      </c>
    </row>
    <row r="17" spans="2:10" x14ac:dyDescent="0.2">
      <c r="B17" s="81">
        <f>'[1]Anexo Salarios Referencia'!A32</f>
        <v>0</v>
      </c>
      <c r="C17" s="81">
        <f>'[1]Anexo Salarios Referencia'!B32</f>
        <v>0</v>
      </c>
      <c r="D17" s="81" t="str">
        <f>'[1]Anexo Salarios Referencia'!C32</f>
        <v>Básico sin experiencia</v>
      </c>
      <c r="E17" s="84">
        <f>'[1]Anexo Salarios Referencia'!D32*(1+$M$4)</f>
        <v>0</v>
      </c>
      <c r="F17" s="84">
        <f>'[1]Anexo Salarios Referencia'!E32*(1+$M$4)</f>
        <v>0</v>
      </c>
      <c r="G17" s="84">
        <f>'[1]Anexo Salarios Referencia'!F32*(1+$M$4)</f>
        <v>0</v>
      </c>
      <c r="H17" s="84">
        <f>'[1]Anexo Salarios Referencia'!G32*(1+$M$4)</f>
        <v>0</v>
      </c>
      <c r="I17" s="84">
        <f>'[1]Anexo Salarios Referencia'!H32*(1+$M$4)</f>
        <v>0</v>
      </c>
      <c r="J17" s="84">
        <f>'[1]Anexo Salarios Referencia'!I32*(1+$M$4)</f>
        <v>1496098.5</v>
      </c>
    </row>
    <row r="22" spans="2:10" x14ac:dyDescent="0.2">
      <c r="B22" s="157" t="s">
        <v>130</v>
      </c>
      <c r="C22" s="158"/>
      <c r="D22" s="161" t="s">
        <v>131</v>
      </c>
      <c r="E22" s="155" t="s">
        <v>132</v>
      </c>
      <c r="F22" s="155" t="s">
        <v>133</v>
      </c>
      <c r="G22" s="155" t="s">
        <v>134</v>
      </c>
      <c r="H22" s="155" t="s">
        <v>135</v>
      </c>
      <c r="I22" s="155" t="s">
        <v>136</v>
      </c>
      <c r="J22" s="155" t="s">
        <v>137</v>
      </c>
    </row>
    <row r="23" spans="2:10" x14ac:dyDescent="0.2">
      <c r="B23" s="159"/>
      <c r="C23" s="160"/>
      <c r="D23" s="162"/>
      <c r="E23" s="156"/>
      <c r="F23" s="156"/>
      <c r="G23" s="156"/>
      <c r="H23" s="156"/>
      <c r="I23" s="156"/>
      <c r="J23" s="156"/>
    </row>
    <row r="24" spans="2:10" x14ac:dyDescent="0.2">
      <c r="B24" s="85"/>
      <c r="C24" s="85"/>
      <c r="D24" s="85"/>
      <c r="E24" s="86"/>
      <c r="F24" s="86"/>
      <c r="G24" s="86"/>
      <c r="H24" s="86"/>
      <c r="I24" s="86"/>
      <c r="J24" s="86"/>
    </row>
    <row r="25" spans="2:10" ht="28" x14ac:dyDescent="0.2">
      <c r="B25" s="87" t="s">
        <v>138</v>
      </c>
      <c r="C25" s="88" t="s">
        <v>139</v>
      </c>
      <c r="D25" s="89" t="s">
        <v>140</v>
      </c>
      <c r="E25" s="90">
        <v>10026540</v>
      </c>
      <c r="F25" s="91">
        <v>0</v>
      </c>
      <c r="G25" s="92">
        <v>0</v>
      </c>
      <c r="H25" s="91">
        <v>0</v>
      </c>
      <c r="I25" s="91">
        <v>0</v>
      </c>
      <c r="J25" s="91">
        <v>0</v>
      </c>
    </row>
    <row r="26" spans="2:10" x14ac:dyDescent="0.2">
      <c r="B26" s="87" t="s">
        <v>141</v>
      </c>
      <c r="C26" s="88" t="s">
        <v>142</v>
      </c>
      <c r="D26" s="89" t="s">
        <v>143</v>
      </c>
      <c r="E26" s="91">
        <v>9190995</v>
      </c>
      <c r="F26" s="90">
        <v>8355449.9999999991</v>
      </c>
      <c r="G26" s="91">
        <v>0</v>
      </c>
      <c r="H26" s="91">
        <v>0</v>
      </c>
      <c r="I26" s="91">
        <v>0</v>
      </c>
      <c r="J26" s="91">
        <v>0</v>
      </c>
    </row>
    <row r="27" spans="2:10" ht="28" x14ac:dyDescent="0.2">
      <c r="B27" s="87" t="s">
        <v>144</v>
      </c>
      <c r="C27" s="88" t="s">
        <v>145</v>
      </c>
      <c r="D27" s="89" t="s">
        <v>146</v>
      </c>
      <c r="E27" s="91">
        <v>9166485.6800000016</v>
      </c>
      <c r="F27" s="91">
        <v>8333168.8000000007</v>
      </c>
      <c r="G27" s="90">
        <v>7575607.9999999991</v>
      </c>
      <c r="H27" s="91">
        <v>0</v>
      </c>
      <c r="I27" s="91">
        <v>0</v>
      </c>
      <c r="J27" s="91">
        <v>0</v>
      </c>
    </row>
    <row r="28" spans="2:10" ht="28" x14ac:dyDescent="0.2">
      <c r="B28" s="87" t="s">
        <v>147</v>
      </c>
      <c r="C28" s="88" t="s">
        <v>148</v>
      </c>
      <c r="D28" s="89" t="s">
        <v>149</v>
      </c>
      <c r="E28" s="91">
        <v>0</v>
      </c>
      <c r="F28" s="91">
        <v>7144466.7800000012</v>
      </c>
      <c r="G28" s="91">
        <v>6494969.8000000007</v>
      </c>
      <c r="H28" s="90">
        <v>5904518</v>
      </c>
      <c r="I28" s="91">
        <v>0</v>
      </c>
      <c r="J28" s="91">
        <v>0</v>
      </c>
    </row>
    <row r="29" spans="2:10" ht="28" x14ac:dyDescent="0.2">
      <c r="B29" s="87" t="s">
        <v>150</v>
      </c>
      <c r="C29" s="88" t="s">
        <v>151</v>
      </c>
      <c r="D29" s="89" t="s">
        <v>152</v>
      </c>
      <c r="E29" s="91">
        <v>0</v>
      </c>
      <c r="F29" s="91">
        <v>0</v>
      </c>
      <c r="G29" s="91">
        <v>4313640.32</v>
      </c>
      <c r="H29" s="91">
        <v>3921491.2</v>
      </c>
      <c r="I29" s="90">
        <v>3564992</v>
      </c>
      <c r="J29" s="91">
        <v>0</v>
      </c>
    </row>
    <row r="30" spans="2:10" x14ac:dyDescent="0.2">
      <c r="B30" s="87" t="s">
        <v>153</v>
      </c>
      <c r="C30" s="88" t="s">
        <v>154</v>
      </c>
      <c r="D30" s="89" t="s">
        <v>155</v>
      </c>
      <c r="E30" s="91">
        <v>0</v>
      </c>
      <c r="F30" s="91">
        <v>0</v>
      </c>
      <c r="G30" s="91">
        <v>0</v>
      </c>
      <c r="H30" s="91">
        <v>3504832.7600000007</v>
      </c>
      <c r="I30" s="91">
        <v>3186211.6</v>
      </c>
      <c r="J30" s="90">
        <v>2896556</v>
      </c>
    </row>
    <row r="31" spans="2:10" ht="28" x14ac:dyDescent="0.2">
      <c r="B31" s="87" t="s">
        <v>156</v>
      </c>
      <c r="C31" s="88" t="s">
        <v>157</v>
      </c>
      <c r="D31" s="89" t="s">
        <v>158</v>
      </c>
      <c r="E31" s="91">
        <v>0</v>
      </c>
      <c r="F31" s="91">
        <v>0</v>
      </c>
      <c r="G31" s="91">
        <v>0</v>
      </c>
      <c r="H31" s="91">
        <v>0</v>
      </c>
      <c r="I31" s="91">
        <v>1911726.9600000002</v>
      </c>
      <c r="J31" s="90">
        <v>1737933.5999999999</v>
      </c>
    </row>
    <row r="32" spans="2:10" x14ac:dyDescent="0.2">
      <c r="B32" s="87" t="s">
        <v>159</v>
      </c>
      <c r="C32" s="88" t="s">
        <v>160</v>
      </c>
      <c r="D32" s="89" t="s">
        <v>161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1496098.5</v>
      </c>
    </row>
    <row r="33" spans="2:10" x14ac:dyDescent="0.2">
      <c r="B33" s="87"/>
      <c r="C33" s="87"/>
      <c r="D33" s="89" t="s">
        <v>162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1496098.5</v>
      </c>
    </row>
  </sheetData>
  <mergeCells count="8">
    <mergeCell ref="J22:J23"/>
    <mergeCell ref="B22:C23"/>
    <mergeCell ref="D22:D23"/>
    <mergeCell ref="E22:E23"/>
    <mergeCell ref="F22:F23"/>
    <mergeCell ref="G22:G23"/>
    <mergeCell ref="H22:H23"/>
    <mergeCell ref="I22:I23"/>
  </mergeCells>
  <conditionalFormatting sqref="B25:J33">
    <cfRule type="expression" dxfId="0" priority="1">
      <formula>+TEXT($C25="","")</formula>
    </cfRule>
  </conditionalFormatting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COLINAS DE OCCIDENTE</vt:lpstr>
      <vt:lpstr>FM</vt:lpstr>
      <vt:lpstr>ANEXO SALARIOS REFERENCIA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Uribe Ayala</dc:creator>
  <cp:lastModifiedBy>Liceth Luna Rincon</cp:lastModifiedBy>
  <cp:lastPrinted>2026-01-29T20:39:54Z</cp:lastPrinted>
  <dcterms:created xsi:type="dcterms:W3CDTF">2025-10-02T17:44:02Z</dcterms:created>
  <dcterms:modified xsi:type="dcterms:W3CDTF">2026-03-05T00:37:53Z</dcterms:modified>
</cp:coreProperties>
</file>